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776B8FA4-0852-4E69-A93C-5B2A74BD57A9}" xr6:coauthVersionLast="43" xr6:coauthVersionMax="43" xr10:uidLastSave="{00000000-0000-0000-0000-000000000000}"/>
  <bookViews>
    <workbookView xWindow="-108" yWindow="-108" windowWidth="23256" windowHeight="12576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43" i="9" l="1"/>
  <c r="N83" i="2" l="1"/>
  <c r="C110" i="7" l="1"/>
  <c r="C18" i="1" l="1"/>
  <c r="C10" i="1"/>
  <c r="E131" i="9" l="1"/>
  <c r="H50" i="14" l="1"/>
  <c r="H49" i="14"/>
  <c r="D33" i="5" l="1"/>
  <c r="D31" i="5"/>
  <c r="F10" i="15"/>
  <c r="F11" i="15" l="1"/>
  <c r="N18" i="2"/>
  <c r="J16" i="2"/>
  <c r="F14" i="15" l="1"/>
  <c r="F24" i="10"/>
  <c r="G17" i="13"/>
  <c r="L10" i="8"/>
  <c r="K10" i="8" s="1"/>
  <c r="G21" i="14"/>
  <c r="D68" i="14" l="1"/>
  <c r="F56" i="14"/>
  <c r="G138" i="9" l="1"/>
  <c r="H138" i="9" s="1"/>
  <c r="G135" i="9"/>
  <c r="H135" i="9" s="1"/>
  <c r="G131" i="9"/>
  <c r="H131" i="9" s="1"/>
  <c r="E139" i="9"/>
  <c r="G139" i="9" s="1"/>
  <c r="H139" i="9" s="1"/>
  <c r="E137" i="9"/>
  <c r="G137" i="9" s="1"/>
  <c r="H137" i="9" s="1"/>
  <c r="E136" i="9"/>
  <c r="G136" i="9" s="1"/>
  <c r="H136" i="9" s="1"/>
  <c r="E135" i="9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3" i="9"/>
  <c r="H102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2" i="9" l="1"/>
  <c r="C118" i="9" s="1"/>
  <c r="D8" i="1" l="1"/>
  <c r="D23" i="17"/>
  <c r="C23" i="17"/>
  <c r="E23" i="17" s="1"/>
  <c r="C22" i="17"/>
  <c r="D22" i="17"/>
  <c r="H11" i="17"/>
  <c r="G14" i="17"/>
  <c r="G13" i="17"/>
  <c r="G10" i="17"/>
  <c r="I11" i="16"/>
  <c r="D21" i="15"/>
  <c r="D20" i="15"/>
  <c r="C21" i="15"/>
  <c r="C20" i="15"/>
  <c r="E20" i="15" s="1"/>
  <c r="G20" i="15" s="1"/>
  <c r="I68" i="14"/>
  <c r="I21" i="14"/>
  <c r="J30" i="14"/>
  <c r="D56" i="14" s="1"/>
  <c r="G30" i="14"/>
  <c r="G68" i="14"/>
  <c r="H48" i="14"/>
  <c r="H47" i="14"/>
  <c r="D44" i="14"/>
  <c r="H44" i="14" s="1"/>
  <c r="H43" i="14"/>
  <c r="H42" i="14"/>
  <c r="H41" i="14"/>
  <c r="H40" i="14"/>
  <c r="H39" i="14"/>
  <c r="H38" i="14"/>
  <c r="H36" i="14"/>
  <c r="G22" i="14"/>
  <c r="I19" i="14"/>
  <c r="G17" i="14"/>
  <c r="H51" i="14" l="1"/>
  <c r="J68" i="14"/>
  <c r="I16" i="14" s="1"/>
  <c r="E22" i="17"/>
  <c r="H22" i="17" s="1"/>
  <c r="F23" i="17" s="1"/>
  <c r="H23" i="17" s="1"/>
  <c r="G11" i="17"/>
  <c r="I10" i="16"/>
  <c r="I12" i="16" s="1"/>
  <c r="I13" i="16" s="1"/>
  <c r="C7" i="1" s="1"/>
  <c r="J12" i="16"/>
  <c r="J13" i="16" s="1"/>
  <c r="F21" i="15"/>
  <c r="E21" i="15"/>
  <c r="I22" i="14"/>
  <c r="C56" i="14"/>
  <c r="E56" i="14" s="1"/>
  <c r="G16" i="14"/>
  <c r="D74" i="13"/>
  <c r="D62" i="14" s="1"/>
  <c r="D73" i="13"/>
  <c r="D61" i="14" s="1"/>
  <c r="C74" i="13"/>
  <c r="C62" i="14" s="1"/>
  <c r="F62" i="14" s="1"/>
  <c r="C73" i="13"/>
  <c r="C61" i="14" s="1"/>
  <c r="F61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5" i="13"/>
  <c r="G33" i="12"/>
  <c r="H13" i="12" s="1"/>
  <c r="I13" i="12" s="1"/>
  <c r="F33" i="12"/>
  <c r="E23" i="12"/>
  <c r="C23" i="12"/>
  <c r="E22" i="12"/>
  <c r="C22" i="12"/>
  <c r="H14" i="12"/>
  <c r="I14" i="12" s="1"/>
  <c r="H10" i="12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I10" i="12" l="1"/>
  <c r="H22" i="12" s="1"/>
  <c r="I22" i="12" s="1"/>
  <c r="G22" i="12"/>
  <c r="G23" i="12"/>
  <c r="H24" i="17"/>
  <c r="H12" i="17" s="1"/>
  <c r="G12" i="17" s="1"/>
  <c r="G15" i="17" s="1"/>
  <c r="C8" i="1" s="1"/>
  <c r="G56" i="14"/>
  <c r="H56" i="14" s="1"/>
  <c r="C8" i="7"/>
  <c r="G21" i="15"/>
  <c r="G22" i="15" s="1"/>
  <c r="G12" i="15" s="1"/>
  <c r="G13" i="15" s="1"/>
  <c r="F15" i="15" s="1"/>
  <c r="D17" i="1" s="1"/>
  <c r="E73" i="13"/>
  <c r="E74" i="13"/>
  <c r="E28" i="13"/>
  <c r="H28" i="13" s="1"/>
  <c r="E57" i="13"/>
  <c r="H57" i="13" s="1"/>
  <c r="H29" i="13"/>
  <c r="H58" i="13"/>
  <c r="E59" i="13"/>
  <c r="H59" i="13" s="1"/>
  <c r="I10" i="11"/>
  <c r="I11" i="11" s="1"/>
  <c r="D43" i="10"/>
  <c r="D42" i="10"/>
  <c r="C43" i="10"/>
  <c r="C42" i="10"/>
  <c r="F19" i="10"/>
  <c r="F17" i="10"/>
  <c r="D35" i="10" s="1"/>
  <c r="E43" i="10"/>
  <c r="E42" i="10"/>
  <c r="D36" i="10"/>
  <c r="F21" i="10"/>
  <c r="F20" i="10"/>
  <c r="F16" i="10"/>
  <c r="C35" i="10" s="1"/>
  <c r="F15" i="10"/>
  <c r="C124" i="9"/>
  <c r="F124" i="9"/>
  <c r="F123" i="9"/>
  <c r="I11" i="12" l="1"/>
  <c r="H11" i="12" s="1"/>
  <c r="H15" i="17"/>
  <c r="H62" i="13"/>
  <c r="C68" i="13" s="1"/>
  <c r="E68" i="13" s="1"/>
  <c r="G68" i="13" s="1"/>
  <c r="I68" i="13" s="1"/>
  <c r="I11" i="13" s="1"/>
  <c r="I56" i="14"/>
  <c r="F12" i="15"/>
  <c r="F13" i="15"/>
  <c r="C17" i="1" s="1"/>
  <c r="G73" i="13"/>
  <c r="I73" i="13" s="1"/>
  <c r="H23" i="12"/>
  <c r="I23" i="12" s="1"/>
  <c r="I24" i="12" s="1"/>
  <c r="I12" i="12" s="1"/>
  <c r="H22" i="11"/>
  <c r="I22" i="11" s="1"/>
  <c r="H11" i="11"/>
  <c r="E35" i="10"/>
  <c r="C123" i="9"/>
  <c r="G61" i="14" l="1"/>
  <c r="I61" i="14" s="1"/>
  <c r="I11" i="14"/>
  <c r="I12" i="13"/>
  <c r="G11" i="13"/>
  <c r="G12" i="13"/>
  <c r="H12" i="12"/>
  <c r="H15" i="12" s="1"/>
  <c r="C11" i="1" s="1"/>
  <c r="I15" i="12"/>
  <c r="H23" i="11"/>
  <c r="I23" i="11" s="1"/>
  <c r="I24" i="11" s="1"/>
  <c r="I12" i="11" s="1"/>
  <c r="I15" i="11" s="1"/>
  <c r="K23" i="9"/>
  <c r="D118" i="9" s="1"/>
  <c r="F118" i="9" s="1"/>
  <c r="C11" i="7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H130" i="9" l="1"/>
  <c r="G130" i="9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H140" i="9" l="1"/>
  <c r="D34" i="5"/>
  <c r="D22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C19" i="1" s="1"/>
  <c r="I15" i="5"/>
  <c r="J108" i="7"/>
  <c r="H31" i="7"/>
  <c r="I31" i="7" s="1"/>
  <c r="H24" i="7"/>
  <c r="I24" i="7" s="1"/>
  <c r="K12" i="8" l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20" i="3" s="1"/>
  <c r="F8" i="4"/>
  <c r="K8" i="4" s="1"/>
  <c r="F44" i="5" s="1"/>
  <c r="F12" i="4"/>
  <c r="K12" i="4" s="1"/>
  <c r="F11" i="4"/>
  <c r="K11" i="4" s="1"/>
  <c r="A1" i="12"/>
  <c r="A1" i="11"/>
  <c r="A1" i="13"/>
  <c r="A1" i="10"/>
  <c r="G145" i="7"/>
  <c r="D44" i="5"/>
  <c r="I74" i="7"/>
  <c r="B11" i="7" s="1"/>
  <c r="D11" i="7" s="1"/>
  <c r="G110" i="7"/>
  <c r="G127" i="7"/>
  <c r="I41" i="7"/>
  <c r="B9" i="7" s="1"/>
  <c r="G136" i="7"/>
  <c r="G181" i="7"/>
  <c r="I59" i="7"/>
  <c r="I79" i="7"/>
  <c r="I88" i="7"/>
  <c r="B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4" i="5"/>
  <c r="C12" i="7" s="1"/>
  <c r="E49" i="5"/>
  <c r="E50" i="5"/>
  <c r="B2" i="3"/>
  <c r="D10" i="3"/>
  <c r="D7" i="3"/>
  <c r="F18" i="10"/>
  <c r="M23" i="2"/>
  <c r="M22" i="2"/>
  <c r="N17" i="2"/>
  <c r="N15" i="2"/>
  <c r="F7" i="4" l="1"/>
  <c r="F9" i="4"/>
  <c r="K9" i="4" s="1"/>
  <c r="F10" i="4"/>
  <c r="K10" i="4" s="1"/>
  <c r="J15" i="9"/>
  <c r="H15" i="9" s="1"/>
  <c r="G16" i="17"/>
  <c r="G17" i="17" s="1"/>
  <c r="I14" i="16"/>
  <c r="I15" i="16" s="1"/>
  <c r="D7" i="1" s="1"/>
  <c r="G24" i="14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C36" i="10"/>
  <c r="E36" i="10" s="1"/>
  <c r="C13" i="7" s="1"/>
  <c r="D13" i="7" s="1"/>
  <c r="F22" i="10"/>
  <c r="H22" i="10" s="1"/>
  <c r="G117" i="9"/>
  <c r="H117" i="9" s="1"/>
  <c r="G118" i="9"/>
  <c r="H118" i="9" s="1"/>
  <c r="I118" i="9" s="1"/>
  <c r="J118" i="9" s="1"/>
  <c r="B10" i="7"/>
  <c r="D10" i="7" s="1"/>
  <c r="E10" i="7" s="1"/>
  <c r="I10" i="7" s="1"/>
  <c r="I117" i="9"/>
  <c r="J117" i="9" s="1"/>
  <c r="G44" i="5"/>
  <c r="H44" i="5" s="1"/>
  <c r="F35" i="10"/>
  <c r="G35" i="10" s="1"/>
  <c r="F36" i="10"/>
  <c r="A1" i="15"/>
  <c r="A1" i="14"/>
  <c r="H115" i="7"/>
  <c r="I110" i="7"/>
  <c r="I111" i="7" s="1"/>
  <c r="I113" i="7" s="1"/>
  <c r="H110" i="7"/>
  <c r="H111" i="7" s="1"/>
  <c r="H113" i="7" s="1"/>
  <c r="I44" i="5"/>
  <c r="H10" i="7"/>
  <c r="G184" i="7"/>
  <c r="G186" i="7" s="1"/>
  <c r="I184" i="7" s="1"/>
  <c r="H11" i="7"/>
  <c r="E11" i="7"/>
  <c r="I11" i="7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3" i="7" l="1"/>
  <c r="E13" i="7"/>
  <c r="I13" i="7" s="1"/>
  <c r="H14" i="10" s="1"/>
  <c r="F14" i="10" s="1"/>
  <c r="J13" i="9"/>
  <c r="H13" i="9" s="1"/>
  <c r="E37" i="10"/>
  <c r="G36" i="10"/>
  <c r="H36" i="10" s="1"/>
  <c r="I36" i="10" s="1"/>
  <c r="H12" i="10" s="1"/>
  <c r="F12" i="10" s="1"/>
  <c r="J10" i="9"/>
  <c r="H10" i="9" s="1"/>
  <c r="I123" i="9"/>
  <c r="K123" i="9" s="1"/>
  <c r="J11" i="9"/>
  <c r="H11" i="9" s="1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37" i="10" l="1"/>
  <c r="H35" i="10"/>
  <c r="I35" i="10" s="1"/>
  <c r="I37" i="10" s="1"/>
  <c r="I9" i="7"/>
  <c r="I14" i="13" s="1"/>
  <c r="G14" i="13" s="1"/>
  <c r="H43" i="5"/>
  <c r="I43" i="5" s="1"/>
  <c r="I11" i="5" s="1"/>
  <c r="I124" i="9"/>
  <c r="K124" i="9" s="1"/>
  <c r="K125" i="9" s="1"/>
  <c r="J12" i="9" s="1"/>
  <c r="H37" i="10"/>
  <c r="G15" i="14"/>
  <c r="G14" i="14" s="1"/>
  <c r="I14" i="14"/>
  <c r="G62" i="14" s="1"/>
  <c r="I62" i="14" s="1"/>
  <c r="I63" i="14" s="1"/>
  <c r="I13" i="14" s="1"/>
  <c r="G74" i="13"/>
  <c r="I74" i="13" s="1"/>
  <c r="I75" i="13" s="1"/>
  <c r="I13" i="13" s="1"/>
  <c r="E7" i="7"/>
  <c r="E14" i="7" s="1"/>
  <c r="D14" i="7"/>
  <c r="H7" i="7"/>
  <c r="G7" i="7"/>
  <c r="I174" i="7"/>
  <c r="F14" i="7" s="1"/>
  <c r="G49" i="5" l="1"/>
  <c r="I49" i="5" s="1"/>
  <c r="G11" i="5"/>
  <c r="I12" i="5"/>
  <c r="G12" i="5" s="1"/>
  <c r="J16" i="9"/>
  <c r="K18" i="9" s="1"/>
  <c r="D6" i="1" s="1"/>
  <c r="H12" i="9"/>
  <c r="H16" i="9" s="1"/>
  <c r="C6" i="1" s="1"/>
  <c r="H11" i="10"/>
  <c r="F11" i="10" s="1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H14" i="7"/>
  <c r="F43" i="10" l="1"/>
  <c r="H43" i="10" s="1"/>
  <c r="H44" i="10" s="1"/>
  <c r="H13" i="10" s="1"/>
  <c r="F13" i="10" s="1"/>
  <c r="G14" i="7"/>
  <c r="I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D20" i="1" s="1"/>
  <c r="D21" i="1" s="1"/>
  <c r="D22" i="1" s="1"/>
  <c r="G16" i="5"/>
  <c r="C14" i="1" s="1"/>
  <c r="C20" i="1" s="1"/>
  <c r="C21" i="1" s="1"/>
  <c r="C22" i="1" s="1"/>
</calcChain>
</file>

<file path=xl/sharedStrings.xml><?xml version="1.0" encoding="utf-8"?>
<sst xmlns="http://schemas.openxmlformats.org/spreadsheetml/2006/main" count="1740" uniqueCount="961">
  <si>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</si>
  <si>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</si>
  <si>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</si>
  <si>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</si>
  <si>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</si>
  <si>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</si>
  <si>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і вивезення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</si>
  <si>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</si>
  <si>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</si>
  <si>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</si>
  <si>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</si>
  <si>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</si>
  <si>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</si>
  <si>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</si>
  <si>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</si>
  <si>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</si>
  <si>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</si>
  <si>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</si>
  <si>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</si>
  <si>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</si>
  <si>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Шевченка</t>
  </si>
  <si>
    <t>Буд.</t>
  </si>
  <si>
    <t>Дата будови</t>
  </si>
  <si>
    <t>Земельний податок (грн./рік)</t>
  </si>
  <si>
    <t>,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</si>
  <si>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</si>
  <si>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</si>
  <si>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</si>
  <si>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</si>
  <si>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</si>
  <si>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</si>
  <si>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</si>
  <si>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</si>
  <si>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</si>
  <si>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</si>
  <si>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</si>
  <si>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</si>
  <si>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</si>
  <si>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</si>
  <si>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</si>
  <si>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</si>
  <si>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</si>
  <si>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</si>
  <si>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</si>
  <si>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</si>
  <si>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</si>
  <si>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</si>
  <si>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</si>
  <si>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</si>
  <si>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</si>
  <si>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</si>
  <si>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</si>
  <si>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</si>
  <si>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</si>
  <si>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</si>
  <si>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</si>
  <si>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</si>
  <si>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</si>
  <si>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</si>
  <si>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</si>
  <si>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</si>
  <si>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</si>
  <si>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</si>
  <si>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</si>
  <si>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</si>
  <si>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</si>
  <si>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</si>
  <si>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</si>
  <si>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</si>
  <si>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</si>
  <si>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</si>
  <si>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</si>
  <si>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</si>
  <si>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</si>
  <si>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</si>
  <si>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</si>
  <si>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</si>
  <si>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</si>
  <si>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</si>
  <si>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</si>
  <si>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</si>
  <si>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</si>
  <si>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</si>
  <si>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</si>
  <si>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</si>
  <si>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</si>
  <si>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</si>
  <si>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</si>
  <si>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</si>
  <si>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</si>
  <si>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</si>
  <si>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</si>
  <si>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</si>
  <si>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</si>
  <si>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</si>
  <si>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</si>
  <si>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</si>
  <si>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</si>
  <si>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</si>
  <si>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</si>
  <si>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</si>
  <si>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</si>
  <si>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</si>
  <si>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</si>
  <si>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</si>
  <si>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</si>
  <si>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</si>
  <si>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</si>
  <si>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</si>
  <si>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</si>
  <si>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</si>
  <si>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</si>
  <si>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</si>
  <si>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</si>
  <si>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</si>
  <si>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</si>
  <si>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</si>
  <si>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</si>
  <si>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</si>
  <si>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</si>
  <si>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</si>
  <si>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</si>
  <si>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</si>
  <si>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</si>
  <si>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</si>
  <si>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</si>
  <si>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</si>
  <si>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</si>
  <si>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</si>
  <si>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</si>
  <si>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</si>
  <si>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</si>
  <si>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</si>
  <si>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</si>
  <si>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</si>
  <si>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</si>
  <si>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</si>
  <si>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</si>
  <si>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</si>
  <si>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</si>
  <si>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</si>
  <si>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</si>
  <si>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</si>
  <si>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</si>
  <si>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</si>
  <si>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</si>
  <si>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</si>
  <si>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</si>
  <si>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</si>
  <si>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</si>
  <si>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</si>
  <si>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</si>
  <si>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</si>
  <si>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</si>
  <si>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</si>
  <si>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</si>
  <si>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</si>
  <si>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</si>
  <si>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</si>
  <si>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</si>
  <si>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</si>
  <si>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</si>
  <si>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</si>
  <si>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</si>
  <si>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</si>
  <si>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</si>
  <si>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</si>
  <si>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</si>
  <si>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</si>
  <si>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</si>
  <si>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</si>
  <si>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</si>
  <si>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</si>
  <si>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</si>
  <si>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</si>
  <si>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</si>
  <si>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</si>
  <si>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</si>
  <si>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</si>
  <si>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</si>
  <si>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</si>
  <si>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</si>
  <si>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</si>
  <si>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</si>
  <si>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</si>
  <si>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</si>
  <si>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</si>
  <si>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</si>
  <si>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</si>
  <si>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</si>
  <si>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</si>
  <si>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</si>
  <si>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</si>
  <si>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</si>
  <si>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</si>
  <si>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</si>
  <si>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</si>
  <si>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</si>
  <si>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</si>
  <si>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</si>
  <si>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</si>
  <si>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</si>
  <si>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</si>
  <si>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</si>
  <si>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</si>
  <si>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</si>
  <si>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</si>
  <si>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</si>
  <si>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</si>
  <si>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</si>
  <si>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</si>
  <si>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</si>
  <si>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</si>
  <si>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</si>
  <si>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</si>
  <si>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</si>
  <si>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</si>
  <si>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</si>
  <si>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</si>
  <si>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</si>
  <si>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</si>
  <si>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</si>
  <si>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</si>
  <si>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</si>
  <si>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</si>
  <si>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</si>
  <si>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</si>
  <si>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</si>
  <si>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</si>
  <si>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</si>
  <si>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</si>
  <si>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</si>
  <si>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</si>
  <si>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</si>
  <si>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</si>
  <si>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</si>
  <si>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</si>
  <si>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</si>
  <si>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</si>
  <si>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</si>
  <si>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</si>
  <si>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</si>
  <si>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</si>
  <si>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</si>
  <si>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</si>
  <si>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</si>
  <si>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</si>
  <si>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</si>
  <si>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</si>
  <si>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</si>
  <si>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</si>
  <si>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</si>
  <si>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</si>
  <si>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</si>
  <si>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</si>
  <si>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</si>
  <si>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</si>
  <si>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</si>
  <si>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</si>
  <si>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</si>
  <si>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</si>
  <si>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</si>
  <si>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</si>
  <si>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</si>
  <si>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</si>
  <si>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</si>
  <si>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</si>
  <si>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</si>
  <si>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</si>
  <si>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</si>
  <si>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</si>
  <si>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</si>
  <si>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</si>
  <si>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</si>
  <si>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</si>
  <si>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</si>
  <si>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</si>
  <si>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</si>
  <si>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</si>
  <si>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</si>
  <si>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</si>
  <si>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</si>
  <si>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</si>
  <si>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</si>
  <si>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</si>
  <si>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</si>
  <si>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</si>
  <si>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</si>
  <si>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</si>
  <si>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</si>
  <si>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</si>
  <si>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</si>
  <si>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</si>
  <si>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</si>
  <si>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</si>
  <si>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</si>
  <si>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</si>
  <si>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</si>
  <si>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</si>
  <si>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</si>
  <si>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</si>
  <si>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</si>
  <si>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</si>
  <si>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</si>
  <si>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</si>
  <si>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</si>
  <si>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</si>
  <si>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</si>
  <si>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</si>
  <si>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</si>
  <si>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</si>
  <si>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</si>
  <si>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</si>
  <si>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</si>
  <si>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</si>
  <si>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</si>
  <si>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</si>
  <si>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</si>
  <si>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</si>
  <si>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</si>
  <si>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</si>
  <si>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</si>
  <si>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</si>
  <si>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</si>
  <si>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</si>
  <si>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</si>
  <si>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</si>
  <si>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</si>
  <si>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</si>
  <si>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</si>
  <si>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</si>
  <si>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</si>
  <si>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</si>
  <si>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</si>
  <si>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</si>
  <si>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</si>
  <si>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</si>
  <si>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</si>
  <si>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</si>
  <si>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</si>
  <si>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</si>
  <si>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</si>
  <si>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</si>
  <si>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</si>
  <si>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</si>
  <si>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</si>
  <si>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</si>
  <si>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</si>
  <si>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</si>
  <si>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</si>
  <si>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</si>
  <si>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</si>
  <si>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</si>
  <si>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</si>
  <si>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</si>
  <si>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</si>
  <si>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</si>
  <si>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</si>
  <si>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</si>
  <si>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</si>
  <si>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</si>
  <si>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</si>
  <si>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</si>
  <si>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</si>
  <si>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</si>
  <si>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</si>
  <si>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</si>
  <si>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</si>
  <si>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</si>
  <si>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</si>
  <si>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</si>
  <si>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</si>
  <si>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</si>
  <si>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</si>
  <si>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</si>
  <si>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</si>
  <si>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</si>
  <si>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</si>
  <si>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</si>
  <si>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</si>
  <si>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</si>
  <si>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</si>
  <si>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</si>
  <si>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</si>
  <si>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</si>
  <si>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</si>
  <si>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</si>
  <si>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</si>
  <si>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</si>
  <si>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</si>
  <si>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</si>
  <si>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</si>
  <si>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</si>
  <si>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</si>
  <si>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</si>
  <si>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</si>
  <si>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</si>
  <si>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</si>
  <si>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</si>
  <si>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</si>
  <si>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</si>
  <si>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</si>
  <si>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</si>
  <si>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</si>
  <si>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</si>
  <si>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</si>
  <si>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</si>
  <si>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</si>
  <si>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</si>
  <si>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</si>
  <si>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</si>
  <si>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</si>
  <si>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</si>
  <si>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</si>
  <si>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</si>
  <si>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</si>
  <si>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</si>
  <si>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</si>
  <si>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</si>
  <si>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</si>
  <si>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</si>
  <si>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</si>
  <si>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</si>
  <si>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</si>
  <si>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</si>
  <si>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</si>
  <si>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</si>
  <si>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</si>
  <si>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</si>
  <si>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</si>
  <si>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</si>
  <si>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</si>
  <si>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</si>
  <si>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</si>
  <si>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</si>
  <si>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</si>
  <si>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</si>
  <si>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</si>
  <si>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</si>
  <si>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</si>
  <si>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</si>
  <si>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</si>
  <si>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</si>
  <si>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</si>
  <si>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</si>
  <si>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</si>
  <si>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</si>
  <si>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</si>
  <si>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</si>
  <si>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</si>
  <si>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</si>
  <si>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</si>
  <si>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</si>
  <si>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</si>
  <si>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</si>
  <si>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</si>
  <si>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</si>
  <si>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</si>
  <si>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</si>
  <si>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</si>
  <si>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</si>
  <si>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</si>
  <si>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</si>
  <si>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</si>
  <si>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</si>
  <si>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</si>
  <si>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</si>
  <si>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</si>
  <si>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</si>
  <si>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</si>
  <si>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</si>
  <si>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</si>
  <si>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</si>
  <si>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</si>
  <si>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</si>
  <si>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</si>
  <si>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</si>
  <si>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</si>
  <si>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</si>
  <si>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</si>
  <si>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</si>
  <si>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</si>
  <si>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</si>
  <si>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</si>
  <si>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</si>
  <si>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</si>
  <si>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</si>
  <si>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</si>
  <si>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</si>
  <si>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Поточний ремонт внутрішньобудинкових систем:водопостачання, водовідведення, теплопостачання, зливної каналізації, газопостачання.</t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</si>
  <si>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</si>
  <si>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</si>
  <si>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</si>
  <si>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</si>
  <si>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</si>
  <si>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</si>
  <si>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</si>
  <si>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</si>
  <si>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</si>
  <si>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</si>
  <si>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</si>
  <si>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</si>
  <si>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</si>
  <si>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</si>
  <si>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</si>
  <si>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</si>
  <si>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</si>
  <si>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</si>
  <si>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</si>
  <si>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</si>
  <si>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</si>
  <si>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</si>
  <si>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</si>
  <si>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</si>
  <si>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</si>
  <si>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</si>
  <si>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</si>
  <si>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</si>
  <si>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</si>
  <si>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</si>
  <si>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</si>
  <si>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</si>
  <si>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</si>
  <si>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</si>
  <si>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</si>
  <si>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</si>
  <si>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</si>
  <si>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</si>
  <si>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</si>
  <si>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</si>
  <si>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</si>
  <si>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</si>
  <si>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</si>
  <si>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</si>
  <si>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</si>
  <si>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</si>
  <si>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</si>
  <si>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</si>
  <si>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</si>
  <si>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</si>
  <si>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</si>
  <si>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</si>
  <si>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</si>
  <si>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</si>
  <si>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</si>
  <si>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</si>
  <si>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</si>
  <si>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</si>
  <si>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</si>
  <si>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</si>
  <si>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</si>
  <si>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</si>
  <si>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</si>
  <si>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</si>
  <si>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</si>
  <si>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</si>
  <si>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</si>
  <si>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</si>
  <si>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</si>
  <si>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</si>
  <si>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</si>
  <si>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</si>
  <si>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</si>
  <si>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</si>
  <si>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</si>
  <si>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</si>
  <si>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</si>
  <si>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</si>
  <si>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</si>
  <si>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</si>
  <si>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</si>
  <si>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</si>
  <si>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</si>
  <si>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</si>
  <si>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</si>
  <si>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</si>
  <si>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</si>
  <si>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</si>
  <si>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</si>
  <si>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</si>
  <si>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</si>
  <si>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</si>
  <si>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</si>
  <si>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</si>
  <si>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</si>
  <si>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</si>
  <si>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</si>
  <si>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</si>
  <si>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</si>
  <si>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</si>
  <si>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</si>
  <si>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</si>
  <si>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</si>
  <si>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</si>
  <si>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</si>
  <si>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</si>
  <si>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</si>
  <si>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</si>
  <si>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</si>
  <si>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</si>
  <si>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</si>
  <si>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</si>
  <si>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</si>
  <si>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</si>
  <si>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</si>
  <si>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</si>
  <si>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</si>
  <si>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</si>
  <si>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</si>
  <si>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</si>
  <si>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</si>
  <si>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</si>
  <si>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</si>
  <si>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</si>
  <si>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</si>
  <si>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</si>
  <si>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</si>
  <si>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</si>
  <si>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</si>
  <si>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</si>
  <si>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</si>
  <si>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</si>
  <si>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</si>
  <si>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</si>
  <si>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</si>
  <si>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</si>
  <si>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</si>
  <si>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</si>
  <si>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</si>
  <si>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</si>
  <si>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</si>
  <si>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</si>
  <si>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</si>
  <si>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</si>
  <si>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</si>
  <si>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</si>
  <si>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</si>
  <si>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</si>
  <si>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</si>
  <si>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</si>
  <si>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</si>
  <si>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</si>
  <si>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</si>
  <si>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</si>
  <si>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</si>
  <si>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</si>
  <si>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</si>
  <si>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</si>
  <si>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</si>
  <si>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</si>
  <si>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</si>
  <si>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</si>
  <si>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</si>
  <si>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</si>
  <si>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</si>
  <si>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</si>
  <si>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</si>
  <si>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</si>
  <si>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</si>
  <si>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</si>
  <si>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</si>
  <si>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</si>
  <si>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</si>
  <si>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</si>
  <si>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</si>
  <si>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</si>
  <si>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</si>
  <si>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</si>
  <si>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</si>
  <si>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</si>
  <si>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</si>
  <si>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</si>
  <si>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</si>
  <si>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</si>
  <si>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</si>
  <si>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</si>
  <si>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</si>
  <si>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</si>
  <si>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</si>
  <si>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</si>
  <si>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</si>
  <si>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</si>
  <si>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</si>
  <si>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</si>
  <si>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</si>
  <si>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</si>
  <si>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</si>
  <si>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</si>
  <si>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</si>
  <si>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</si>
  <si>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</si>
  <si>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</si>
  <si>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</si>
  <si>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</si>
  <si>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</si>
  <si>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</si>
  <si>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</si>
  <si>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</si>
  <si>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</si>
  <si>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</si>
  <si>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</si>
  <si>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</si>
  <si>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</si>
  <si>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</si>
  <si>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маш.год. \ кв.м.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</si>
  <si>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</si>
  <si>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</si>
  <si>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</si>
  <si>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</si>
  <si>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</si>
  <si>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</si>
  <si>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</si>
  <si>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</si>
  <si>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</si>
  <si>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</si>
  <si>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</si>
  <si>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</si>
  <si>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</si>
  <si>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</si>
  <si>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</si>
  <si>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</si>
  <si>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</si>
  <si>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</si>
  <si>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</si>
  <si>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</si>
  <si>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</si>
  <si>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</si>
  <si>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</si>
  <si>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</si>
  <si>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</si>
  <si>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</si>
  <si>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</si>
  <si>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</si>
  <si>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</si>
  <si>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</si>
  <si>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</si>
  <si>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</si>
  <si>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</si>
  <si>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</si>
  <si>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</si>
  <si>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</si>
  <si>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</si>
  <si>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</si>
  <si>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</si>
  <si>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</si>
  <si>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</si>
  <si>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</si>
  <si>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</si>
  <si>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</si>
  <si>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</si>
  <si>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</si>
  <si>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</si>
  <si>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</si>
  <si>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</si>
  <si>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</si>
  <si>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</si>
  <si>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</si>
  <si>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</si>
  <si>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</si>
  <si>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</si>
  <si>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</si>
  <si>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</si>
  <si>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</si>
  <si>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</si>
  <si>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</si>
  <si>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</si>
  <si>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</si>
  <si>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</si>
  <si>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</si>
  <si>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</si>
  <si>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</si>
  <si>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</si>
  <si>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</si>
  <si>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</si>
  <si>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</si>
  <si>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</si>
  <si>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</si>
  <si>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</si>
  <si>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</si>
  <si>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</si>
  <si>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</si>
  <si>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</si>
  <si>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</si>
  <si>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</si>
  <si>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</si>
  <si>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</si>
  <si>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</si>
  <si>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</si>
  <si>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</si>
  <si>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</si>
  <si>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</si>
  <si>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</si>
  <si>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</si>
  <si>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</si>
  <si>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</si>
  <si>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</si>
  <si>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</si>
  <si>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</si>
  <si>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</si>
  <si>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</si>
  <si>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</si>
  <si>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</si>
  <si>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</si>
  <si>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</si>
  <si>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</si>
  <si>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</si>
  <si>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</si>
  <si>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</si>
  <si>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</si>
  <si>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</si>
  <si>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</si>
  <si>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</si>
  <si>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</si>
  <si>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</si>
  <si>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</si>
  <si>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</si>
  <si>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</si>
  <si>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</si>
  <si>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</si>
  <si>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</si>
  <si>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</si>
  <si>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</si>
  <si>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</si>
  <si>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</si>
  <si>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</si>
  <si>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</si>
  <si>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</si>
  <si>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</si>
  <si>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</si>
  <si>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</si>
  <si>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</si>
  <si>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</si>
  <si>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</si>
  <si>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</si>
  <si>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</si>
  <si>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</si>
  <si>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</si>
  <si>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</si>
  <si>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</si>
  <si>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</si>
  <si>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</si>
  <si>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</si>
  <si>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</si>
  <si>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</si>
  <si>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</si>
  <si>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</si>
  <si>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</si>
  <si>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</si>
  <si>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</si>
  <si>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</si>
  <si>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</si>
  <si>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</si>
  <si>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</si>
  <si>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</si>
  <si>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</si>
  <si>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</si>
  <si>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</si>
  <si>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</si>
  <si>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</si>
  <si>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</si>
  <si>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</si>
  <si>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</si>
  <si>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</si>
  <si>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</si>
  <si>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</si>
  <si>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</si>
  <si>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</si>
  <si>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</si>
  <si>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</si>
  <si>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</si>
  <si>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</si>
  <si>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</si>
  <si>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</si>
  <si>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</si>
  <si>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</si>
  <si>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</si>
  <si>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</si>
  <si>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</si>
  <si>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</si>
  <si>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</si>
  <si>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</si>
  <si>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</si>
  <si>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</si>
  <si>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</si>
  <si>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</si>
  <si>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</si>
  <si>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</si>
  <si>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</si>
  <si>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</si>
  <si>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</si>
  <si>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</si>
  <si>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</si>
  <si>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</si>
  <si>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</si>
  <si>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</si>
  <si>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</si>
  <si>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</si>
  <si>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</si>
  <si>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</si>
  <si>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</si>
  <si>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</si>
  <si>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</si>
  <si>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</si>
  <si>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</si>
  <si>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</si>
  <si>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</si>
  <si>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</si>
  <si>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</si>
  <si>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</si>
  <si>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</si>
  <si>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</si>
  <si>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</si>
  <si>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>обсл.раз на рік,заміна по необх.</t>
  </si>
  <si>
    <t xml:space="preserve">Сума єдиного внеску на загальнообов'язкове
державне соціальне страхування </t>
  </si>
  <si>
    <t>21</t>
  </si>
  <si>
    <t>1965</t>
  </si>
  <si>
    <t>Посипання території піском</t>
  </si>
  <si>
    <t>сантехнічні роботи</t>
  </si>
  <si>
    <t xml:space="preserve">Додаток </t>
  </si>
  <si>
    <t>до договору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</si>
  <si>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</si>
  <si>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</si>
  <si>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Річна сума складової витрат  
( гривень)</t>
  </si>
  <si>
    <t>ПІДПИСИ</t>
  </si>
  <si>
    <t>Від управителя                                                                                        Від співласників</t>
  </si>
  <si>
    <t>_____________ Шацьких А.І.                                                                ____________ __________________________</t>
  </si>
  <si>
    <t>мп</t>
  </si>
  <si>
    <t>( ініціали та прізвище)</t>
  </si>
  <si>
    <t>Технічне обслуговування нутрішньобудинкових систем : водопостачання, водовідведення, теплопостачання, електропостачання, газопостачання.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</si>
  <si>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</si>
  <si>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</si>
  <si>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</si>
  <si>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теплопостачання.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</si>
  <si>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</si>
  <si>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</si>
  <si>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</si>
  <si>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КП "Житлово-експлуатаційна контора"</t>
  </si>
  <si>
    <t xml:space="preserve">Площа підвалу житлового будинку  </t>
  </si>
  <si>
    <t>" Прибирання, посипання частини прибудинкової території, призначеної для проходу та проїзду, протиожеледними сумішами"</t>
  </si>
  <si>
    <t>Площа прибудинкової території, яка прибирається механізованим способом</t>
  </si>
  <si>
    <t xml:space="preserve">Норматив (норма) прибирання одиниці площі прибудинкової території спеціалізованими машинами (механізмами) </t>
  </si>
  <si>
    <t xml:space="preserve">Вартість машино-години роботи спеціалізованих машин (механизмів) </t>
  </si>
  <si>
    <t>ремонтні роботи</t>
  </si>
  <si>
    <t>" Поточний ремонт внутрішньобудинкових систем : водопостачання ; водовідведення; теплопостачання;  електропостачання"</t>
  </si>
  <si>
    <t>"Обслуговування вентиляційних каналів"</t>
  </si>
  <si>
    <t xml:space="preserve">Витрати з обслуговування вентиляційних каналів  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</si>
  <si>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</si>
  <si>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</si>
  <si>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</si>
  <si>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</si>
  <si>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</si>
  <si>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згідно кошторису
ремонт покрівлі -50 кв.м
фарбування газопроводу-80м
стяжка  -20 кв.м.
ремонт лавочок та ін .роботи
</t>
  </si>
  <si>
    <t xml:space="preserve">заміна труби опалення - 78м     
заміна трійників -4 шт
</t>
  </si>
  <si>
    <t>в разі необхідності</t>
  </si>
  <si>
    <t>технічний огляд ввідних газопроводів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</si>
  <si>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</si>
  <si>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</si>
  <si>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</si>
  <si>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вентиляційних каналів</t>
  </si>
  <si>
    <t xml:space="preserve">чотири рази рік  </t>
  </si>
  <si>
    <t xml:space="preserve"> один раз на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</si>
</sst>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"/>
    <numFmt numFmtId="166" formatCode="0.000000"/>
    <numFmt numFmtId="167" formatCode="0.0"/>
    <numFmt numFmtId="168" formatCode="0.00000"/>
    <numFmt numFmtId="169" formatCode="#,##0.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6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1" fontId="18" fillId="0" borderId="53" xfId="0" applyNumberFormat="1" applyFont="1" applyBorder="1" applyAlignment="1">
      <alignment horizontal="right"/>
    </xf>
    <xf numFmtId="49" fontId="11" fillId="0" borderId="25" xfId="0" applyNumberFormat="1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4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5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1" fontId="18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6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6" xfId="0" applyFont="1" applyBorder="1" applyAlignment="1" applyProtection="1">
      <alignment horizontal="left" wrapText="1"/>
      <protection locked="0"/>
    </xf>
    <xf numFmtId="0" fontId="14" fillId="0" borderId="57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4" fillId="0" borderId="61" xfId="0" applyNumberFormat="1" applyFont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5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6" xfId="0" applyFont="1" applyBorder="1" applyAlignment="1" applyProtection="1">
      <alignment horizontal="center" vertical="center" wrapText="1"/>
      <protection locked="0"/>
    </xf>
    <xf numFmtId="2" fontId="13" fillId="0" borderId="66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2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7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60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4" xfId="0" applyNumberFormat="1" applyFont="1" applyBorder="1" applyAlignment="1" applyProtection="1">
      <alignment horizontal="right"/>
      <protection locked="0"/>
    </xf>
    <xf numFmtId="164" fontId="13" fillId="0" borderId="63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6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6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6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6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9" fontId="21" fillId="0" borderId="1" xfId="0" applyNumberFormat="1" applyFont="1" applyBorder="1" applyAlignment="1" applyProtection="1">
      <alignment horizontal="right" vertical="center"/>
      <protection locked="0"/>
    </xf>
    <xf numFmtId="164" fontId="21" fillId="0" borderId="1" xfId="0" applyNumberFormat="1" applyFont="1" applyBorder="1" applyAlignment="1" applyProtection="1">
      <alignment horizontal="right" vertical="center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54" xfId="0" applyNumberFormat="1" applyFont="1" applyBorder="1" applyAlignment="1" applyProtection="1">
      <alignment horizontal="right" vertical="center" wrapText="1"/>
      <protection locked="0"/>
    </xf>
    <xf numFmtId="2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left" vertical="center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6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8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 wrapText="1"/>
    </xf>
    <xf numFmtId="2" fontId="19" fillId="0" borderId="1" xfId="0" applyNumberFormat="1" applyFont="1" applyBorder="1" applyAlignment="1">
      <alignment horizontal="right" vertical="center"/>
    </xf>
    <xf numFmtId="165" fontId="14" fillId="0" borderId="55" xfId="0" applyNumberFormat="1" applyFont="1" applyBorder="1" applyAlignment="1" applyProtection="1">
      <alignment horizontal="right" vertical="justify" wrapText="1"/>
      <protection locked="0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2" fontId="6" fillId="0" borderId="1" xfId="0" applyNumberFormat="1" applyFont="1" applyBorder="1" applyAlignment="1">
      <alignment horizontal="right" vertical="center"/>
    </xf>
    <xf numFmtId="0" fontId="45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49" fontId="9" fillId="0" borderId="1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60" xfId="0" applyNumberFormat="1" applyFont="1" applyFill="1" applyBorder="1" applyAlignment="1" applyProtection="1">
      <alignment horizontal="right"/>
      <protection locked="0"/>
    </xf>
    <xf numFmtId="2" fontId="9" fillId="2" borderId="69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5" xfId="0" applyNumberFormat="1" applyFont="1" applyFill="1" applyBorder="1" applyAlignment="1" applyProtection="1">
      <alignment vertical="center"/>
      <protection locked="0"/>
    </xf>
    <xf numFmtId="0" fontId="0" fillId="2" borderId="69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8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60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8" xfId="0" applyFont="1" applyFill="1" applyBorder="1" applyAlignment="1" applyProtection="1">
      <alignment horizontal="center" vertical="center"/>
      <protection locked="0"/>
    </xf>
    <xf numFmtId="0" fontId="9" fillId="2" borderId="72" xfId="0" applyFont="1" applyFill="1" applyBorder="1" applyAlignment="1" applyProtection="1">
      <alignment horizontal="center" vertical="center"/>
      <protection locked="0"/>
    </xf>
    <xf numFmtId="0" fontId="9" fillId="2" borderId="59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9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8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60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3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3" xfId="0" applyFont="1" applyBorder="1" applyAlignment="1" applyProtection="1">
      <alignment horizontal="center" vertical="center" wrapText="1"/>
      <protection locked="0"/>
    </xf>
    <xf numFmtId="0" fontId="11" fillId="0" borderId="70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1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8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2" xfId="0" applyFont="1" applyBorder="1" applyAlignment="1" applyProtection="1">
      <alignment horizontal="center" vertical="center"/>
      <protection locked="0"/>
    </xf>
    <xf numFmtId="0" fontId="13" fillId="0" borderId="59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8" xfId="0" applyFont="1" applyBorder="1" applyAlignment="1" applyProtection="1">
      <alignment horizontal="justify"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4" fillId="0" borderId="54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4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9" xfId="0" applyFont="1" applyBorder="1" applyAlignment="1" applyProtection="1">
      <alignment horizontal="left"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4" fillId="0" borderId="63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2" fontId="15" fillId="0" borderId="4" xfId="2" applyNumberFormat="1" applyBorder="1"/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2" fontId="21" fillId="0" borderId="4" xfId="2" applyNumberFormat="1" applyFont="1" applyBorder="1" applyAlignment="1">
      <alignment horizontal="center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justify" vertical="top" wrapText="1"/>
      <protection locked="0"/>
    </xf>
    <xf numFmtId="0" fontId="28" fillId="0" borderId="1" xfId="0" applyFont="1" applyBorder="1" applyAlignment="1" applyProtection="1">
      <alignment horizontal="justify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3"/>
  <sheetViews>
    <sheetView topLeftCell="A19" zoomScaleNormal="100" workbookViewId="0">
      <selection activeCell="N84" sqref="N84"/>
    </sheetView>
  </sheetViews>
  <sheetFormatPr defaultRowHeight="14.4" x14ac:dyDescent="0.3"/>
  <cols>
    <col min="8" max="8" width="9.6640625" customWidth="1"/>
  </cols>
  <sheetData>
    <row r="2" spans="1:14" x14ac:dyDescent="0.3">
      <c r="A2" s="681" t="s">
        <v>15</v>
      </c>
      <c r="B2" s="681"/>
      <c r="C2" s="681"/>
      <c r="D2" s="681"/>
      <c r="E2" s="681"/>
      <c r="F2" s="681"/>
      <c r="G2" s="681"/>
      <c r="H2" s="681"/>
      <c r="I2" s="681"/>
      <c r="J2" s="681"/>
      <c r="K2" s="681"/>
      <c r="L2" s="681"/>
      <c r="M2" s="681"/>
      <c r="N2" s="681"/>
    </row>
    <row r="3" spans="1:14" x14ac:dyDescent="0.3">
      <c r="A3" s="681"/>
      <c r="B3" s="681"/>
      <c r="C3" s="681"/>
      <c r="D3" s="681"/>
      <c r="E3" s="681"/>
      <c r="F3" s="681"/>
      <c r="G3" s="681"/>
      <c r="H3" s="681"/>
      <c r="I3" s="681"/>
      <c r="J3" s="681"/>
      <c r="K3" s="681"/>
      <c r="L3" s="681"/>
      <c r="M3" s="13"/>
      <c r="N3" s="14"/>
    </row>
    <row r="4" spans="1:14" x14ac:dyDescent="0.3">
      <c r="A4" s="15"/>
      <c r="B4" s="14"/>
      <c r="C4" s="682" t="s">
        <v>16</v>
      </c>
      <c r="D4" s="683"/>
      <c r="E4" s="683"/>
      <c r="F4" s="683"/>
      <c r="G4" s="683"/>
      <c r="H4" s="683"/>
      <c r="I4" s="683"/>
      <c r="J4" s="683"/>
      <c r="K4" s="683"/>
      <c r="L4" s="683"/>
      <c r="M4" s="683"/>
      <c r="N4" s="683"/>
    </row>
    <row r="5" spans="1:14" x14ac:dyDescent="0.3">
      <c r="A5" s="14"/>
      <c r="B5" s="14"/>
      <c r="C5" s="684"/>
      <c r="D5" s="685"/>
      <c r="E5" s="685"/>
      <c r="F5" s="685"/>
      <c r="G5" s="685"/>
      <c r="H5" s="685"/>
      <c r="I5" s="685"/>
      <c r="J5" s="685"/>
      <c r="K5" s="685"/>
      <c r="L5" s="685"/>
      <c r="M5" s="685"/>
      <c r="N5" s="685"/>
    </row>
    <row r="6" spans="1:14" x14ac:dyDescent="0.3">
      <c r="A6" s="14" t="s">
        <v>17</v>
      </c>
      <c r="B6" s="15" t="s">
        <v>18</v>
      </c>
      <c r="C6" s="16"/>
      <c r="D6" s="17" t="s">
        <v>19</v>
      </c>
      <c r="E6" s="686" t="s">
        <v>20</v>
      </c>
      <c r="F6" s="686"/>
      <c r="G6" s="686"/>
      <c r="H6" s="686"/>
      <c r="I6" s="686"/>
      <c r="J6" s="686"/>
      <c r="K6" s="17" t="s">
        <v>21</v>
      </c>
      <c r="L6" s="18" t="s">
        <v>914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8" customHeight="1" x14ac:dyDescent="0.3">
      <c r="A8" s="687" t="s">
        <v>22</v>
      </c>
      <c r="B8" s="688"/>
      <c r="C8" s="688"/>
      <c r="D8" s="687" t="s">
        <v>23</v>
      </c>
      <c r="E8" s="689"/>
      <c r="F8" s="689"/>
      <c r="G8" s="120"/>
      <c r="H8" s="121"/>
      <c r="I8" s="114"/>
      <c r="J8" s="122"/>
      <c r="K8" s="115"/>
      <c r="L8" s="120"/>
      <c r="M8" s="123"/>
      <c r="N8" s="123"/>
    </row>
    <row r="9" spans="1:14" x14ac:dyDescent="0.3">
      <c r="A9" s="677" t="s">
        <v>915</v>
      </c>
      <c r="B9" s="678"/>
      <c r="C9" s="679"/>
      <c r="D9" s="680"/>
      <c r="E9" s="680"/>
      <c r="F9" s="680"/>
      <c r="G9" s="116"/>
      <c r="H9" s="116"/>
      <c r="I9" s="116"/>
      <c r="J9" s="116"/>
      <c r="K9" s="117"/>
      <c r="L9" s="118"/>
      <c r="M9" s="119"/>
      <c r="N9" s="119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672" t="s">
        <v>111</v>
      </c>
      <c r="B11" s="673"/>
      <c r="C11" s="675" t="s">
        <v>112</v>
      </c>
      <c r="D11" s="675"/>
      <c r="E11" s="675" t="s">
        <v>113</v>
      </c>
      <c r="F11" s="675"/>
      <c r="G11" s="25" t="s">
        <v>114</v>
      </c>
      <c r="H11" s="113" t="s">
        <v>759</v>
      </c>
      <c r="I11" s="113" t="s">
        <v>758</v>
      </c>
      <c r="J11" s="14"/>
      <c r="K11" s="14"/>
      <c r="L11" s="26"/>
      <c r="M11" s="26"/>
      <c r="N11" s="27"/>
    </row>
    <row r="12" spans="1:14" x14ac:dyDescent="0.3">
      <c r="A12" s="674"/>
      <c r="B12" s="673"/>
      <c r="C12" s="676">
        <v>5</v>
      </c>
      <c r="D12" s="676"/>
      <c r="E12" s="676">
        <v>4</v>
      </c>
      <c r="F12" s="676"/>
      <c r="G12" s="28"/>
      <c r="H12" s="28"/>
      <c r="I12" s="28"/>
      <c r="J12" s="118"/>
      <c r="K12" s="118"/>
      <c r="L12" s="26"/>
      <c r="M12" s="26"/>
      <c r="N12" s="27"/>
    </row>
    <row r="13" spans="1:14" ht="15" thickBot="1" x14ac:dyDescent="0.35">
      <c r="A13" s="124"/>
      <c r="B13" s="124"/>
      <c r="C13" s="125"/>
      <c r="D13" s="125"/>
      <c r="E13" s="126"/>
      <c r="F13" s="126"/>
      <c r="G13" s="126"/>
      <c r="H13" s="118"/>
      <c r="I13" s="118"/>
      <c r="J13" s="118"/>
      <c r="K13" s="118"/>
      <c r="L13" s="26"/>
      <c r="M13" s="26"/>
      <c r="N13" s="27"/>
    </row>
    <row r="14" spans="1:14" ht="79.2" x14ac:dyDescent="0.3">
      <c r="A14" s="701" t="s">
        <v>115</v>
      </c>
      <c r="B14" s="702"/>
      <c r="C14" s="702"/>
      <c r="D14" s="702"/>
      <c r="E14" s="702"/>
      <c r="F14" s="702"/>
      <c r="G14" s="702"/>
      <c r="H14" s="702"/>
      <c r="I14" s="703"/>
      <c r="J14" s="704" t="s">
        <v>116</v>
      </c>
      <c r="K14" s="705"/>
      <c r="L14" s="30" t="s">
        <v>117</v>
      </c>
      <c r="M14" s="30" t="s">
        <v>118</v>
      </c>
      <c r="N14" s="31" t="s">
        <v>119</v>
      </c>
    </row>
    <row r="15" spans="1:14" x14ac:dyDescent="0.3">
      <c r="A15" s="690" t="s">
        <v>120</v>
      </c>
      <c r="B15" s="695"/>
      <c r="C15" s="695"/>
      <c r="D15" s="695"/>
      <c r="E15" s="695"/>
      <c r="F15" s="695"/>
      <c r="G15" s="695"/>
      <c r="H15" s="695"/>
      <c r="I15" s="696"/>
      <c r="J15" s="706">
        <v>68</v>
      </c>
      <c r="K15" s="707"/>
      <c r="L15" s="32">
        <v>0</v>
      </c>
      <c r="M15" s="32">
        <v>0</v>
      </c>
      <c r="N15" s="33">
        <f>J15+L15+M15</f>
        <v>68</v>
      </c>
    </row>
    <row r="16" spans="1:14" x14ac:dyDescent="0.3">
      <c r="A16" s="690" t="s">
        <v>121</v>
      </c>
      <c r="B16" s="691"/>
      <c r="C16" s="691"/>
      <c r="D16" s="691"/>
      <c r="E16" s="691"/>
      <c r="F16" s="691"/>
      <c r="G16" s="691"/>
      <c r="H16" s="691"/>
      <c r="I16" s="692"/>
      <c r="J16" s="693">
        <f>L16+M16+N16</f>
        <v>2941.7</v>
      </c>
      <c r="K16" s="694"/>
      <c r="L16" s="34">
        <v>0</v>
      </c>
      <c r="M16" s="34">
        <v>87</v>
      </c>
      <c r="N16" s="35">
        <v>2854.7</v>
      </c>
    </row>
    <row r="17" spans="1:14" x14ac:dyDescent="0.3">
      <c r="A17" s="690" t="s">
        <v>122</v>
      </c>
      <c r="B17" s="695"/>
      <c r="C17" s="695"/>
      <c r="D17" s="695"/>
      <c r="E17" s="695"/>
      <c r="F17" s="695"/>
      <c r="G17" s="695"/>
      <c r="H17" s="695"/>
      <c r="I17" s="696"/>
      <c r="J17" s="693"/>
      <c r="K17" s="694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697" t="s">
        <v>123</v>
      </c>
      <c r="B18" s="698"/>
      <c r="C18" s="698"/>
      <c r="D18" s="698"/>
      <c r="E18" s="698"/>
      <c r="F18" s="698"/>
      <c r="G18" s="698"/>
      <c r="H18" s="698"/>
      <c r="I18" s="698"/>
      <c r="J18" s="699"/>
      <c r="K18" s="700"/>
      <c r="L18" s="723"/>
      <c r="M18" s="724"/>
      <c r="N18" s="36">
        <f>J16</f>
        <v>2941.7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 t="s">
        <v>24</v>
      </c>
    </row>
    <row r="20" spans="1:14" hidden="1" x14ac:dyDescent="0.3">
      <c r="A20" s="725" t="s">
        <v>124</v>
      </c>
      <c r="B20" s="726"/>
      <c r="C20" s="726"/>
      <c r="D20" s="726"/>
      <c r="E20" s="726"/>
      <c r="F20" s="726"/>
      <c r="G20" s="726"/>
      <c r="H20" s="726"/>
      <c r="I20" s="726"/>
      <c r="J20" s="726"/>
      <c r="K20" s="726"/>
      <c r="L20" s="726"/>
      <c r="M20" s="726"/>
      <c r="N20" s="727"/>
    </row>
    <row r="21" spans="1:14" hidden="1" x14ac:dyDescent="0.3">
      <c r="A21" s="728" t="s">
        <v>26</v>
      </c>
      <c r="B21" s="729"/>
      <c r="C21" s="729"/>
      <c r="D21" s="729"/>
      <c r="E21" s="729"/>
      <c r="F21" s="730"/>
      <c r="G21" s="672" t="s">
        <v>27</v>
      </c>
      <c r="H21" s="734"/>
      <c r="I21" s="734"/>
      <c r="J21" s="672" t="s">
        <v>28</v>
      </c>
      <c r="K21" s="734"/>
      <c r="L21" s="734"/>
      <c r="M21" s="734" t="s">
        <v>25</v>
      </c>
      <c r="N21" s="735"/>
    </row>
    <row r="22" spans="1:14" hidden="1" x14ac:dyDescent="0.3">
      <c r="A22" s="731"/>
      <c r="B22" s="732"/>
      <c r="C22" s="732"/>
      <c r="D22" s="732"/>
      <c r="E22" s="732"/>
      <c r="F22" s="733"/>
      <c r="G22" s="736"/>
      <c r="H22" s="736"/>
      <c r="I22" s="736"/>
      <c r="J22" s="736">
        <v>0</v>
      </c>
      <c r="K22" s="736"/>
      <c r="L22" s="736"/>
      <c r="M22" s="736">
        <f>G22+J22</f>
        <v>0</v>
      </c>
      <c r="N22" s="737"/>
    </row>
    <row r="23" spans="1:14" hidden="1" x14ac:dyDescent="0.3">
      <c r="A23" s="708" t="s">
        <v>29</v>
      </c>
      <c r="B23" s="709"/>
      <c r="C23" s="709"/>
      <c r="D23" s="709"/>
      <c r="E23" s="709"/>
      <c r="F23" s="710"/>
      <c r="G23" s="711"/>
      <c r="H23" s="712"/>
      <c r="I23" s="713"/>
      <c r="J23" s="711"/>
      <c r="K23" s="712"/>
      <c r="L23" s="713"/>
      <c r="M23" s="34">
        <f>G23+J23</f>
        <v>0</v>
      </c>
      <c r="N23" s="38">
        <v>0</v>
      </c>
    </row>
    <row r="24" spans="1:14" hidden="1" x14ac:dyDescent="0.3">
      <c r="A24" s="714" t="s">
        <v>30</v>
      </c>
      <c r="B24" s="715"/>
      <c r="C24" s="715"/>
      <c r="D24" s="715"/>
      <c r="E24" s="715"/>
      <c r="F24" s="715"/>
      <c r="G24" s="715"/>
      <c r="H24" s="715"/>
      <c r="I24" s="715"/>
      <c r="J24" s="715"/>
      <c r="K24" s="715"/>
      <c r="L24" s="715"/>
      <c r="M24" s="34"/>
      <c r="N24" s="38">
        <v>0</v>
      </c>
    </row>
    <row r="25" spans="1:14" hidden="1" x14ac:dyDescent="0.3">
      <c r="A25" s="716" t="s">
        <v>31</v>
      </c>
      <c r="B25" s="717"/>
      <c r="C25" s="717"/>
      <c r="D25" s="717"/>
      <c r="E25" s="717"/>
      <c r="F25" s="717"/>
      <c r="G25" s="718"/>
      <c r="H25" s="719" t="s">
        <v>32</v>
      </c>
      <c r="I25" s="720"/>
      <c r="J25" s="721" t="s">
        <v>33</v>
      </c>
      <c r="K25" s="722"/>
      <c r="L25" s="39" t="s">
        <v>34</v>
      </c>
      <c r="M25" s="738" t="s">
        <v>35</v>
      </c>
      <c r="N25" s="739"/>
    </row>
    <row r="26" spans="1:14" hidden="1" x14ac:dyDescent="0.3">
      <c r="A26" s="740" t="s">
        <v>36</v>
      </c>
      <c r="B26" s="717"/>
      <c r="C26" s="717"/>
      <c r="D26" s="717"/>
      <c r="E26" s="717"/>
      <c r="F26" s="717"/>
      <c r="G26" s="718"/>
      <c r="H26" s="741">
        <v>2</v>
      </c>
      <c r="I26" s="742"/>
      <c r="J26" s="743" t="s">
        <v>37</v>
      </c>
      <c r="K26" s="743"/>
      <c r="L26" s="40"/>
      <c r="M26" s="736"/>
      <c r="N26" s="744"/>
    </row>
    <row r="27" spans="1:14" hidden="1" x14ac:dyDescent="0.3">
      <c r="A27" s="740" t="s">
        <v>38</v>
      </c>
      <c r="B27" s="717"/>
      <c r="C27" s="717"/>
      <c r="D27" s="717"/>
      <c r="E27" s="717"/>
      <c r="F27" s="717"/>
      <c r="G27" s="718"/>
      <c r="H27" s="741">
        <v>2</v>
      </c>
      <c r="I27" s="742"/>
      <c r="J27" s="743" t="s">
        <v>37</v>
      </c>
      <c r="K27" s="743"/>
      <c r="L27" s="40"/>
      <c r="M27" s="736"/>
      <c r="N27" s="744"/>
    </row>
    <row r="28" spans="1:14" hidden="1" x14ac:dyDescent="0.3">
      <c r="A28" s="740" t="s">
        <v>39</v>
      </c>
      <c r="B28" s="717"/>
      <c r="C28" s="717"/>
      <c r="D28" s="717"/>
      <c r="E28" s="717"/>
      <c r="F28" s="717"/>
      <c r="G28" s="718"/>
      <c r="H28" s="741">
        <v>2</v>
      </c>
      <c r="I28" s="742"/>
      <c r="J28" s="743" t="s">
        <v>37</v>
      </c>
      <c r="K28" s="743"/>
      <c r="L28" s="40"/>
      <c r="M28" s="736"/>
      <c r="N28" s="744"/>
    </row>
    <row r="29" spans="1:14" hidden="1" x14ac:dyDescent="0.3">
      <c r="A29" s="740" t="s">
        <v>40</v>
      </c>
      <c r="B29" s="717"/>
      <c r="C29" s="717"/>
      <c r="D29" s="717"/>
      <c r="E29" s="717"/>
      <c r="F29" s="717"/>
      <c r="G29" s="718"/>
      <c r="H29" s="741">
        <v>2</v>
      </c>
      <c r="I29" s="742"/>
      <c r="J29" s="743" t="s">
        <v>37</v>
      </c>
      <c r="K29" s="743"/>
      <c r="L29" s="40"/>
      <c r="M29" s="736"/>
      <c r="N29" s="744"/>
    </row>
    <row r="30" spans="1:14" hidden="1" x14ac:dyDescent="0.3">
      <c r="A30" s="740" t="s">
        <v>41</v>
      </c>
      <c r="B30" s="717"/>
      <c r="C30" s="717"/>
      <c r="D30" s="717"/>
      <c r="E30" s="717"/>
      <c r="F30" s="717"/>
      <c r="G30" s="718"/>
      <c r="H30" s="741">
        <v>2</v>
      </c>
      <c r="I30" s="742"/>
      <c r="J30" s="743" t="s">
        <v>37</v>
      </c>
      <c r="K30" s="743"/>
      <c r="L30" s="40"/>
      <c r="M30" s="736"/>
      <c r="N30" s="744"/>
    </row>
    <row r="31" spans="1:14" hidden="1" x14ac:dyDescent="0.3">
      <c r="A31" s="740" t="s">
        <v>42</v>
      </c>
      <c r="B31" s="717"/>
      <c r="C31" s="717"/>
      <c r="D31" s="717"/>
      <c r="E31" s="717"/>
      <c r="F31" s="717"/>
      <c r="G31" s="718"/>
      <c r="H31" s="741">
        <v>2</v>
      </c>
      <c r="I31" s="742"/>
      <c r="J31" s="743" t="s">
        <v>37</v>
      </c>
      <c r="K31" s="743"/>
      <c r="L31" s="40"/>
      <c r="M31" s="736"/>
      <c r="N31" s="744"/>
    </row>
    <row r="32" spans="1:14" hidden="1" x14ac:dyDescent="0.3">
      <c r="A32" s="740" t="s">
        <v>43</v>
      </c>
      <c r="B32" s="717"/>
      <c r="C32" s="717"/>
      <c r="D32" s="717"/>
      <c r="E32" s="717"/>
      <c r="F32" s="717"/>
      <c r="G32" s="718"/>
      <c r="H32" s="741">
        <v>2</v>
      </c>
      <c r="I32" s="742"/>
      <c r="J32" s="743" t="s">
        <v>37</v>
      </c>
      <c r="K32" s="743"/>
      <c r="L32" s="40"/>
      <c r="M32" s="736"/>
      <c r="N32" s="744"/>
    </row>
    <row r="33" spans="1:14" ht="15" hidden="1" thickBot="1" x14ac:dyDescent="0.35">
      <c r="A33" s="762" t="s">
        <v>44</v>
      </c>
      <c r="B33" s="763"/>
      <c r="C33" s="763"/>
      <c r="D33" s="763"/>
      <c r="E33" s="763"/>
      <c r="F33" s="763"/>
      <c r="G33" s="763"/>
      <c r="H33" s="763"/>
      <c r="I33" s="763"/>
      <c r="J33" s="763"/>
      <c r="K33" s="763"/>
      <c r="L33" s="763"/>
      <c r="M33" s="763"/>
      <c r="N33" s="764"/>
    </row>
    <row r="34" spans="1:14" hidden="1" x14ac:dyDescent="0.3">
      <c r="A34" s="765" t="s">
        <v>45</v>
      </c>
      <c r="B34" s="745"/>
      <c r="C34" s="766"/>
      <c r="D34" s="766"/>
      <c r="E34" s="745" t="s">
        <v>46</v>
      </c>
      <c r="F34" s="745"/>
      <c r="G34" s="41"/>
      <c r="H34" s="745" t="s">
        <v>47</v>
      </c>
      <c r="I34" s="745"/>
      <c r="J34" s="767"/>
      <c r="K34" s="768"/>
      <c r="L34" s="745" t="s">
        <v>48</v>
      </c>
      <c r="M34" s="745"/>
      <c r="N34" s="42"/>
    </row>
    <row r="35" spans="1:14" hidden="1" x14ac:dyDescent="0.3">
      <c r="A35" s="746" t="s">
        <v>49</v>
      </c>
      <c r="B35" s="747"/>
      <c r="C35" s="747"/>
      <c r="D35" s="747"/>
      <c r="E35" s="748"/>
      <c r="F35" s="749"/>
      <c r="G35" s="43" t="s">
        <v>50</v>
      </c>
      <c r="H35" s="750"/>
      <c r="I35" s="751"/>
      <c r="J35" s="752" t="s">
        <v>51</v>
      </c>
      <c r="K35" s="753"/>
      <c r="L35" s="753"/>
      <c r="M35" s="754"/>
      <c r="N35" s="44"/>
    </row>
    <row r="36" spans="1:14" hidden="1" x14ac:dyDescent="0.3">
      <c r="A36" s="755" t="s">
        <v>52</v>
      </c>
      <c r="B36" s="756"/>
      <c r="C36" s="757"/>
      <c r="D36" s="758"/>
      <c r="E36" s="759" t="s">
        <v>53</v>
      </c>
      <c r="F36" s="759"/>
      <c r="G36" s="760"/>
      <c r="H36" s="760"/>
      <c r="I36" s="761"/>
      <c r="J36" s="761"/>
      <c r="K36" s="761"/>
      <c r="L36" s="45"/>
      <c r="M36" s="46" t="s">
        <v>54</v>
      </c>
      <c r="N36" s="47"/>
    </row>
    <row r="37" spans="1:14" ht="15" hidden="1" thickBot="1" x14ac:dyDescent="0.35">
      <c r="A37" s="773" t="s">
        <v>55</v>
      </c>
      <c r="B37" s="774"/>
      <c r="C37" s="774"/>
      <c r="D37" s="775"/>
      <c r="E37" s="776">
        <v>0</v>
      </c>
      <c r="F37" s="777"/>
      <c r="G37" s="778" t="s">
        <v>56</v>
      </c>
      <c r="H37" s="774"/>
      <c r="I37" s="774"/>
      <c r="J37" s="779">
        <v>0</v>
      </c>
      <c r="K37" s="780"/>
      <c r="L37" s="781" t="s">
        <v>57</v>
      </c>
      <c r="M37" s="775"/>
      <c r="N37" s="143"/>
    </row>
    <row r="38" spans="1:14" x14ac:dyDescent="0.3">
      <c r="A38" s="895" t="s">
        <v>125</v>
      </c>
      <c r="B38" s="895"/>
      <c r="C38" s="895"/>
      <c r="D38" s="895"/>
      <c r="E38" s="895"/>
      <c r="F38" s="895"/>
      <c r="G38" s="895"/>
      <c r="H38" s="895"/>
      <c r="I38" s="895"/>
      <c r="J38" s="895"/>
      <c r="K38" s="895"/>
      <c r="L38" s="895"/>
      <c r="M38" s="895"/>
      <c r="N38" s="895"/>
    </row>
    <row r="39" spans="1:14" x14ac:dyDescent="0.3">
      <c r="A39" s="893" t="s">
        <v>126</v>
      </c>
      <c r="B39" s="893"/>
      <c r="C39" s="893"/>
      <c r="D39" s="893"/>
      <c r="E39" s="893"/>
      <c r="F39" s="893"/>
      <c r="G39" s="893"/>
      <c r="H39" s="893"/>
      <c r="I39" s="127"/>
      <c r="J39" s="127"/>
      <c r="K39" s="771"/>
      <c r="L39" s="771"/>
      <c r="M39" s="681"/>
      <c r="N39" s="772"/>
    </row>
    <row r="40" spans="1:14" x14ac:dyDescent="0.3">
      <c r="A40" s="894"/>
      <c r="B40" s="894"/>
      <c r="C40" s="894"/>
      <c r="D40" s="894"/>
      <c r="E40" s="894"/>
      <c r="F40" s="894"/>
      <c r="G40" s="894"/>
      <c r="H40" s="894"/>
      <c r="I40" s="141"/>
      <c r="J40" s="142"/>
      <c r="K40" s="128"/>
      <c r="L40" s="128"/>
      <c r="M40" s="129"/>
      <c r="N40" s="128"/>
    </row>
    <row r="41" spans="1:14" x14ac:dyDescent="0.3">
      <c r="A41" s="769" t="s">
        <v>127</v>
      </c>
      <c r="B41" s="770"/>
      <c r="C41" s="770"/>
      <c r="D41" s="770"/>
      <c r="E41" s="770"/>
      <c r="F41" s="770"/>
      <c r="G41" s="770"/>
      <c r="H41" s="48">
        <v>500</v>
      </c>
      <c r="I41" s="139"/>
      <c r="J41" s="139"/>
      <c r="K41" s="130"/>
      <c r="L41" s="130"/>
      <c r="M41" s="131"/>
      <c r="N41" s="130"/>
    </row>
    <row r="42" spans="1:14" x14ac:dyDescent="0.3">
      <c r="A42" s="769" t="s">
        <v>128</v>
      </c>
      <c r="B42" s="770"/>
      <c r="C42" s="770"/>
      <c r="D42" s="770"/>
      <c r="E42" s="770"/>
      <c r="F42" s="770"/>
      <c r="G42" s="770"/>
      <c r="H42" s="48"/>
      <c r="I42" s="139"/>
      <c r="J42" s="139"/>
      <c r="K42" s="130"/>
      <c r="L42" s="130"/>
      <c r="M42" s="131"/>
      <c r="N42" s="130"/>
    </row>
    <row r="43" spans="1:14" x14ac:dyDescent="0.3">
      <c r="A43" s="769" t="s">
        <v>129</v>
      </c>
      <c r="B43" s="770"/>
      <c r="C43" s="770"/>
      <c r="D43" s="770"/>
      <c r="E43" s="770"/>
      <c r="F43" s="770"/>
      <c r="G43" s="770"/>
      <c r="H43" s="48"/>
      <c r="I43" s="139"/>
      <c r="J43" s="139"/>
      <c r="K43" s="130"/>
      <c r="L43" s="130"/>
      <c r="M43" s="131"/>
      <c r="N43" s="130"/>
    </row>
    <row r="44" spans="1:14" x14ac:dyDescent="0.3">
      <c r="A44" s="769" t="s">
        <v>130</v>
      </c>
      <c r="B44" s="770"/>
      <c r="C44" s="770"/>
      <c r="D44" s="770"/>
      <c r="E44" s="770"/>
      <c r="F44" s="770"/>
      <c r="G44" s="770"/>
      <c r="H44" s="137">
        <v>60</v>
      </c>
      <c r="I44" s="132"/>
      <c r="J44" s="132"/>
      <c r="K44" s="139"/>
      <c r="L44" s="139"/>
      <c r="M44" s="140"/>
      <c r="N44" s="132"/>
    </row>
    <row r="45" spans="1:14" x14ac:dyDescent="0.3">
      <c r="A45" s="894" t="s">
        <v>131</v>
      </c>
      <c r="B45" s="894"/>
      <c r="C45" s="894"/>
      <c r="D45" s="894"/>
      <c r="E45" s="894"/>
      <c r="F45" s="894"/>
      <c r="G45" s="894"/>
      <c r="H45" s="894"/>
      <c r="I45" s="37"/>
      <c r="J45" s="37"/>
      <c r="K45" s="138"/>
      <c r="L45" s="138"/>
      <c r="M45" s="122"/>
      <c r="N45" s="115"/>
    </row>
    <row r="46" spans="1:14" x14ac:dyDescent="0.3">
      <c r="A46" s="894"/>
      <c r="B46" s="894"/>
      <c r="C46" s="894"/>
      <c r="D46" s="894"/>
      <c r="E46" s="894"/>
      <c r="F46" s="894"/>
      <c r="G46" s="894"/>
      <c r="H46" s="894"/>
      <c r="I46" s="799"/>
      <c r="J46" s="799"/>
      <c r="K46" s="133"/>
      <c r="L46" s="133"/>
      <c r="M46" s="134"/>
      <c r="N46" s="133"/>
    </row>
    <row r="47" spans="1:14" x14ac:dyDescent="0.3">
      <c r="A47" s="769" t="s">
        <v>132</v>
      </c>
      <c r="B47" s="770"/>
      <c r="C47" s="770"/>
      <c r="D47" s="770"/>
      <c r="E47" s="770"/>
      <c r="F47" s="770"/>
      <c r="G47" s="770"/>
      <c r="H47" s="48">
        <v>3500</v>
      </c>
      <c r="I47" s="800"/>
      <c r="J47" s="800"/>
      <c r="K47" s="131"/>
      <c r="L47" s="135"/>
      <c r="M47" s="136"/>
      <c r="N47" s="130"/>
    </row>
    <row r="48" spans="1:14" x14ac:dyDescent="0.3">
      <c r="A48" s="782" t="s">
        <v>133</v>
      </c>
      <c r="B48" s="783"/>
      <c r="C48" s="783"/>
      <c r="D48" s="783"/>
      <c r="E48" s="783"/>
      <c r="F48" s="783"/>
      <c r="G48" s="784"/>
      <c r="H48" s="788" t="s">
        <v>134</v>
      </c>
      <c r="I48" s="789"/>
      <c r="J48" s="789"/>
      <c r="K48" s="790"/>
      <c r="L48" s="791" t="s">
        <v>135</v>
      </c>
      <c r="M48" s="792"/>
      <c r="N48" s="793"/>
    </row>
    <row r="49" spans="1:14" ht="15" thickBot="1" x14ac:dyDescent="0.35">
      <c r="A49" s="785"/>
      <c r="B49" s="786"/>
      <c r="C49" s="786"/>
      <c r="D49" s="786"/>
      <c r="E49" s="786"/>
      <c r="F49" s="786"/>
      <c r="G49" s="787"/>
      <c r="H49" s="794">
        <v>0</v>
      </c>
      <c r="I49" s="795"/>
      <c r="J49" s="795"/>
      <c r="K49" s="796"/>
      <c r="L49" s="797">
        <v>2500</v>
      </c>
      <c r="M49" s="797"/>
      <c r="N49" s="798"/>
    </row>
    <row r="50" spans="1:14" x14ac:dyDescent="0.3">
      <c r="A50" s="819" t="s">
        <v>136</v>
      </c>
      <c r="B50" s="820"/>
      <c r="C50" s="820"/>
      <c r="D50" s="820"/>
      <c r="E50" s="820"/>
      <c r="F50" s="821"/>
      <c r="G50" s="49">
        <v>17</v>
      </c>
      <c r="H50" s="822" t="s">
        <v>137</v>
      </c>
      <c r="I50" s="823"/>
      <c r="J50" s="823"/>
      <c r="K50" s="823"/>
      <c r="L50" s="823"/>
      <c r="M50" s="824"/>
      <c r="N50" s="49">
        <v>16</v>
      </c>
    </row>
    <row r="51" spans="1:14" hidden="1" x14ac:dyDescent="0.3">
      <c r="A51" s="20"/>
      <c r="B51" s="20"/>
      <c r="C51" s="681" t="s">
        <v>58</v>
      </c>
      <c r="D51" s="801"/>
      <c r="E51" s="801"/>
      <c r="F51" s="801"/>
      <c r="G51" s="801"/>
      <c r="H51" s="801"/>
      <c r="I51" s="801"/>
      <c r="J51" s="801"/>
      <c r="K51" s="801"/>
      <c r="L51" s="801"/>
      <c r="M51" s="20"/>
      <c r="N51" s="14"/>
    </row>
    <row r="52" spans="1:14" ht="15" hidden="1" thickBot="1" x14ac:dyDescent="0.3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14"/>
    </row>
    <row r="53" spans="1:14" ht="15" hidden="1" thickBot="1" x14ac:dyDescent="0.35">
      <c r="A53" s="802" t="s">
        <v>59</v>
      </c>
      <c r="B53" s="803"/>
      <c r="C53" s="803"/>
      <c r="D53" s="803"/>
      <c r="E53" s="804"/>
      <c r="F53" s="805" t="s">
        <v>60</v>
      </c>
      <c r="G53" s="806"/>
      <c r="H53" s="806"/>
      <c r="I53" s="806"/>
      <c r="J53" s="806"/>
      <c r="K53" s="807"/>
      <c r="L53" s="807"/>
      <c r="M53" s="807"/>
      <c r="N53" s="808"/>
    </row>
    <row r="54" spans="1:14" hidden="1" x14ac:dyDescent="0.3">
      <c r="A54" s="809" t="s">
        <v>61</v>
      </c>
      <c r="B54" s="810"/>
      <c r="C54" s="810"/>
      <c r="D54" s="810"/>
      <c r="E54" s="50"/>
      <c r="F54" s="811" t="s">
        <v>62</v>
      </c>
      <c r="G54" s="812"/>
      <c r="H54" s="814" t="s">
        <v>63</v>
      </c>
      <c r="I54" s="814"/>
      <c r="J54" s="51"/>
      <c r="K54" s="815" t="s">
        <v>64</v>
      </c>
      <c r="L54" s="816"/>
      <c r="M54" s="816"/>
      <c r="N54" s="52">
        <v>1360</v>
      </c>
    </row>
    <row r="55" spans="1:14" hidden="1" x14ac:dyDescent="0.3">
      <c r="A55" s="817" t="s">
        <v>65</v>
      </c>
      <c r="B55" s="818"/>
      <c r="C55" s="818"/>
      <c r="D55" s="818"/>
      <c r="E55" s="53"/>
      <c r="F55" s="813"/>
      <c r="G55" s="812"/>
      <c r="H55" s="839" t="s">
        <v>66</v>
      </c>
      <c r="I55" s="839"/>
      <c r="J55" s="54"/>
      <c r="K55" s="840" t="s">
        <v>67</v>
      </c>
      <c r="L55" s="841"/>
      <c r="M55" s="841"/>
      <c r="N55" s="52"/>
    </row>
    <row r="56" spans="1:14" hidden="1" x14ac:dyDescent="0.3">
      <c r="A56" s="842" t="s">
        <v>68</v>
      </c>
      <c r="B56" s="843"/>
      <c r="C56" s="843"/>
      <c r="D56" s="843"/>
      <c r="E56" s="55">
        <v>1</v>
      </c>
      <c r="F56" s="844" t="s">
        <v>69</v>
      </c>
      <c r="G56" s="845"/>
      <c r="H56" s="56" t="s">
        <v>70</v>
      </c>
      <c r="I56" s="29"/>
      <c r="J56" s="57"/>
      <c r="K56" s="825" t="s">
        <v>71</v>
      </c>
      <c r="L56" s="841"/>
      <c r="M56" s="841"/>
      <c r="N56" s="19">
        <v>213</v>
      </c>
    </row>
    <row r="57" spans="1:14" hidden="1" x14ac:dyDescent="0.3">
      <c r="A57" s="842" t="s">
        <v>72</v>
      </c>
      <c r="B57" s="843"/>
      <c r="C57" s="843"/>
      <c r="D57" s="843"/>
      <c r="E57" s="55"/>
      <c r="F57" s="846"/>
      <c r="G57" s="847"/>
      <c r="H57" s="56" t="s">
        <v>73</v>
      </c>
      <c r="I57" s="58"/>
      <c r="J57" s="59"/>
      <c r="K57" s="825" t="s">
        <v>74</v>
      </c>
      <c r="L57" s="816"/>
      <c r="M57" s="816"/>
      <c r="N57" s="19">
        <v>48</v>
      </c>
    </row>
    <row r="58" spans="1:14" hidden="1" x14ac:dyDescent="0.3">
      <c r="A58" s="20"/>
      <c r="B58" s="27"/>
      <c r="C58" s="27"/>
      <c r="D58" s="27"/>
      <c r="E58" s="60"/>
      <c r="F58" s="61"/>
      <c r="G58" s="61"/>
      <c r="H58" s="20"/>
      <c r="I58" s="20"/>
      <c r="J58" s="17"/>
      <c r="K58" s="825" t="s">
        <v>75</v>
      </c>
      <c r="L58" s="816"/>
      <c r="M58" s="816"/>
      <c r="N58" s="19">
        <v>2</v>
      </c>
    </row>
    <row r="59" spans="1:14" ht="15" hidden="1" thickBot="1" x14ac:dyDescent="0.35">
      <c r="A59" s="20"/>
      <c r="B59" s="27"/>
      <c r="C59" s="27"/>
      <c r="D59" s="27"/>
      <c r="E59" s="20"/>
      <c r="F59" s="20"/>
      <c r="G59" s="20"/>
      <c r="H59" s="20"/>
      <c r="I59" s="20"/>
      <c r="J59" s="20"/>
      <c r="K59" s="20"/>
      <c r="L59" s="20"/>
      <c r="M59" s="20"/>
      <c r="N59" s="14"/>
    </row>
    <row r="60" spans="1:14" ht="15" hidden="1" thickBot="1" x14ac:dyDescent="0.35">
      <c r="A60" s="802" t="s">
        <v>59</v>
      </c>
      <c r="B60" s="803"/>
      <c r="C60" s="803"/>
      <c r="D60" s="803"/>
      <c r="E60" s="803"/>
      <c r="F60" s="826" t="s">
        <v>76</v>
      </c>
      <c r="G60" s="827"/>
      <c r="H60" s="827"/>
      <c r="I60" s="827"/>
      <c r="J60" s="806"/>
      <c r="K60" s="828"/>
      <c r="L60" s="828"/>
      <c r="M60" s="828"/>
      <c r="N60" s="829"/>
    </row>
    <row r="61" spans="1:14" hidden="1" x14ac:dyDescent="0.3">
      <c r="A61" s="830" t="s">
        <v>77</v>
      </c>
      <c r="B61" s="831"/>
      <c r="C61" s="831"/>
      <c r="D61" s="832"/>
      <c r="E61" s="62"/>
      <c r="F61" s="769" t="s">
        <v>78</v>
      </c>
      <c r="G61" s="833"/>
      <c r="H61" s="833"/>
      <c r="I61" s="63">
        <v>0</v>
      </c>
      <c r="J61" s="14" t="s">
        <v>79</v>
      </c>
      <c r="K61" s="20"/>
      <c r="L61" s="20"/>
      <c r="M61" s="20"/>
      <c r="N61" s="64"/>
    </row>
    <row r="62" spans="1:14" hidden="1" x14ac:dyDescent="0.3">
      <c r="A62" s="834" t="s">
        <v>80</v>
      </c>
      <c r="B62" s="835"/>
      <c r="C62" s="835"/>
      <c r="D62" s="836"/>
      <c r="E62" s="65"/>
      <c r="F62" s="837" t="s">
        <v>81</v>
      </c>
      <c r="G62" s="838"/>
      <c r="H62" s="838"/>
      <c r="I62" s="66"/>
      <c r="J62" s="14"/>
      <c r="K62" s="20"/>
      <c r="L62" s="14"/>
      <c r="M62" s="20"/>
      <c r="N62" s="64"/>
    </row>
    <row r="63" spans="1:14" ht="15" hidden="1" thickBot="1" x14ac:dyDescent="0.35">
      <c r="A63" s="852" t="s">
        <v>72</v>
      </c>
      <c r="B63" s="853"/>
      <c r="C63" s="853"/>
      <c r="D63" s="853"/>
      <c r="E63" s="67"/>
      <c r="F63" s="769" t="s">
        <v>74</v>
      </c>
      <c r="G63" s="769"/>
      <c r="H63" s="769"/>
      <c r="I63" s="58" t="s">
        <v>82</v>
      </c>
      <c r="J63" s="68"/>
      <c r="K63" s="69"/>
      <c r="L63" s="68"/>
      <c r="M63" s="69"/>
      <c r="N63" s="70"/>
    </row>
    <row r="64" spans="1:14" ht="15" hidden="1" thickBot="1" x14ac:dyDescent="0.35">
      <c r="A64" s="20"/>
      <c r="B64" s="27"/>
      <c r="C64" s="27"/>
      <c r="D64" s="27"/>
      <c r="E64" s="20"/>
      <c r="F64" s="20"/>
      <c r="G64" s="20"/>
      <c r="H64" s="20"/>
      <c r="I64" s="20"/>
      <c r="J64" s="14"/>
      <c r="K64" s="20"/>
      <c r="L64" s="14"/>
      <c r="M64" s="20"/>
      <c r="N64" s="14"/>
    </row>
    <row r="65" spans="1:14" ht="15" hidden="1" thickBot="1" x14ac:dyDescent="0.35">
      <c r="A65" s="802" t="s">
        <v>59</v>
      </c>
      <c r="B65" s="803"/>
      <c r="C65" s="803"/>
      <c r="D65" s="803"/>
      <c r="E65" s="803"/>
      <c r="F65" s="805" t="s">
        <v>83</v>
      </c>
      <c r="G65" s="806"/>
      <c r="H65" s="806"/>
      <c r="I65" s="806"/>
      <c r="J65" s="806"/>
      <c r="K65" s="828"/>
      <c r="L65" s="828"/>
      <c r="M65" s="828"/>
      <c r="N65" s="829"/>
    </row>
    <row r="66" spans="1:14" hidden="1" x14ac:dyDescent="0.3">
      <c r="A66" s="830" t="s">
        <v>68</v>
      </c>
      <c r="B66" s="831"/>
      <c r="C66" s="831"/>
      <c r="D66" s="832"/>
      <c r="E66" s="62">
        <v>1</v>
      </c>
      <c r="F66" s="71" t="s">
        <v>84</v>
      </c>
      <c r="G66" s="72"/>
      <c r="H66" s="72"/>
      <c r="I66" s="72"/>
      <c r="J66" s="73">
        <v>0</v>
      </c>
      <c r="K66" s="854" t="s">
        <v>85</v>
      </c>
      <c r="L66" s="855"/>
      <c r="M66" s="855"/>
      <c r="N66" s="74">
        <v>375</v>
      </c>
    </row>
    <row r="67" spans="1:14" ht="15" hidden="1" thickBot="1" x14ac:dyDescent="0.35">
      <c r="A67" s="848" t="s">
        <v>86</v>
      </c>
      <c r="B67" s="849"/>
      <c r="C67" s="849"/>
      <c r="D67" s="850"/>
      <c r="E67" s="75"/>
      <c r="F67" s="851" t="s">
        <v>87</v>
      </c>
      <c r="G67" s="833"/>
      <c r="H67" s="833"/>
      <c r="I67" s="833"/>
      <c r="J67" s="76"/>
      <c r="K67" s="688" t="s">
        <v>88</v>
      </c>
      <c r="L67" s="770"/>
      <c r="M67" s="770"/>
      <c r="N67" s="52"/>
    </row>
    <row r="68" spans="1:14" hidden="1" x14ac:dyDescent="0.3">
      <c r="A68" s="20"/>
      <c r="B68" s="27"/>
      <c r="C68" s="27"/>
      <c r="D68" s="27"/>
      <c r="E68" s="60"/>
      <c r="F68" s="77"/>
      <c r="G68" s="78"/>
      <c r="H68" s="78"/>
      <c r="I68" s="78"/>
      <c r="J68" s="79"/>
      <c r="K68" s="688" t="s">
        <v>74</v>
      </c>
      <c r="L68" s="770"/>
      <c r="M68" s="770"/>
      <c r="N68" s="19">
        <v>19</v>
      </c>
    </row>
    <row r="69" spans="1:14" ht="15" hidden="1" thickBot="1" x14ac:dyDescent="0.35">
      <c r="A69" s="20"/>
      <c r="B69" s="27"/>
      <c r="C69" s="27"/>
      <c r="D69" s="27"/>
      <c r="E69" s="20"/>
      <c r="F69" s="20"/>
      <c r="G69" s="20"/>
      <c r="H69" s="20"/>
      <c r="I69" s="20"/>
      <c r="J69" s="14"/>
      <c r="K69" s="20"/>
      <c r="L69" s="14"/>
      <c r="M69" s="20"/>
      <c r="N69" s="14"/>
    </row>
    <row r="70" spans="1:14" ht="15" hidden="1" thickBot="1" x14ac:dyDescent="0.35">
      <c r="A70" s="802" t="s">
        <v>89</v>
      </c>
      <c r="B70" s="803"/>
      <c r="C70" s="803"/>
      <c r="D70" s="803"/>
      <c r="E70" s="804"/>
      <c r="F70" s="805" t="s">
        <v>90</v>
      </c>
      <c r="G70" s="828"/>
      <c r="H70" s="828"/>
      <c r="I70" s="828"/>
      <c r="J70" s="828"/>
      <c r="K70" s="828"/>
      <c r="L70" s="828"/>
      <c r="M70" s="828"/>
      <c r="N70" s="829"/>
    </row>
    <row r="71" spans="1:14" hidden="1" x14ac:dyDescent="0.3">
      <c r="A71" s="856" t="s">
        <v>91</v>
      </c>
      <c r="B71" s="857"/>
      <c r="C71" s="857"/>
      <c r="D71" s="857"/>
      <c r="E71" s="80">
        <v>1</v>
      </c>
      <c r="F71" s="814" t="s">
        <v>92</v>
      </c>
      <c r="G71" s="858"/>
      <c r="H71" s="858"/>
      <c r="I71" s="858"/>
      <c r="J71" s="81"/>
      <c r="K71" s="859" t="s">
        <v>93</v>
      </c>
      <c r="L71" s="855"/>
      <c r="M71" s="855"/>
      <c r="N71" s="74">
        <v>516</v>
      </c>
    </row>
    <row r="72" spans="1:14" ht="15" hidden="1" thickBot="1" x14ac:dyDescent="0.35">
      <c r="A72" s="848" t="s">
        <v>94</v>
      </c>
      <c r="B72" s="849"/>
      <c r="C72" s="849"/>
      <c r="D72" s="849"/>
      <c r="E72" s="82"/>
      <c r="F72" s="769" t="s">
        <v>95</v>
      </c>
      <c r="G72" s="833"/>
      <c r="H72" s="833"/>
      <c r="I72" s="833"/>
      <c r="J72" s="29"/>
      <c r="K72" s="860" t="s">
        <v>96</v>
      </c>
      <c r="L72" s="770"/>
      <c r="M72" s="770"/>
      <c r="N72" s="19"/>
    </row>
    <row r="73" spans="1:14" ht="15" hidden="1" thickBot="1" x14ac:dyDescent="0.35">
      <c r="A73" s="852"/>
      <c r="B73" s="853"/>
      <c r="C73" s="853"/>
      <c r="D73" s="853"/>
      <c r="E73" s="69"/>
      <c r="F73" s="83" t="s">
        <v>97</v>
      </c>
      <c r="G73" s="58"/>
      <c r="H73" s="58"/>
      <c r="I73" s="29"/>
      <c r="J73" s="29"/>
      <c r="K73" s="835" t="s">
        <v>74</v>
      </c>
      <c r="L73" s="770"/>
      <c r="M73" s="770"/>
      <c r="N73" s="19"/>
    </row>
    <row r="74" spans="1:14" ht="15" hidden="1" thickBot="1" x14ac:dyDescent="0.35">
      <c r="A74" s="20"/>
      <c r="B74" s="27"/>
      <c r="C74" s="27"/>
      <c r="D74" s="27"/>
      <c r="E74" s="20"/>
      <c r="F74" s="20"/>
      <c r="G74" s="20"/>
      <c r="H74" s="20"/>
      <c r="I74" s="20"/>
      <c r="J74" s="14"/>
      <c r="K74" s="20"/>
      <c r="L74" s="27"/>
      <c r="M74" s="27"/>
      <c r="N74" s="14"/>
    </row>
    <row r="75" spans="1:14" ht="15" hidden="1" thickBot="1" x14ac:dyDescent="0.35">
      <c r="A75" s="802" t="s">
        <v>98</v>
      </c>
      <c r="B75" s="803"/>
      <c r="C75" s="803"/>
      <c r="D75" s="803"/>
      <c r="E75" s="804"/>
      <c r="F75" s="805" t="s">
        <v>99</v>
      </c>
      <c r="G75" s="806"/>
      <c r="H75" s="806"/>
      <c r="I75" s="806"/>
      <c r="J75" s="827"/>
      <c r="K75" s="807"/>
      <c r="L75" s="807"/>
      <c r="M75" s="828"/>
      <c r="N75" s="829"/>
    </row>
    <row r="76" spans="1:14" hidden="1" x14ac:dyDescent="0.3">
      <c r="A76" s="830" t="s">
        <v>100</v>
      </c>
      <c r="B76" s="831"/>
      <c r="C76" s="831"/>
      <c r="D76" s="832"/>
      <c r="E76" s="84"/>
      <c r="F76" s="85" t="s">
        <v>101</v>
      </c>
      <c r="G76" s="86"/>
      <c r="H76" s="87" t="s">
        <v>102</v>
      </c>
      <c r="I76" s="88" t="s">
        <v>103</v>
      </c>
      <c r="J76" s="89"/>
      <c r="K76" s="89"/>
      <c r="L76" s="90"/>
      <c r="M76" s="91" t="s">
        <v>104</v>
      </c>
      <c r="N76" s="92">
        <v>30</v>
      </c>
    </row>
    <row r="77" spans="1:14" ht="15" hidden="1" thickBot="1" x14ac:dyDescent="0.35">
      <c r="A77" s="848" t="s">
        <v>105</v>
      </c>
      <c r="B77" s="849"/>
      <c r="C77" s="849"/>
      <c r="D77" s="850"/>
      <c r="E77" s="93"/>
      <c r="F77" s="94" t="s">
        <v>106</v>
      </c>
      <c r="G77" s="95"/>
      <c r="H77" s="96">
        <v>1</v>
      </c>
      <c r="I77" s="97" t="s">
        <v>107</v>
      </c>
      <c r="J77" s="98"/>
      <c r="K77" s="99"/>
      <c r="L77" s="98"/>
      <c r="M77" s="100"/>
      <c r="N77" s="101"/>
    </row>
    <row r="78" spans="1:14" x14ac:dyDescent="0.3">
      <c r="A78" s="20"/>
      <c r="B78" s="27"/>
      <c r="C78" s="27"/>
      <c r="D78" s="27"/>
      <c r="E78" s="144"/>
      <c r="F78" s="77"/>
      <c r="G78" s="145"/>
      <c r="H78" s="146"/>
      <c r="I78" s="77"/>
      <c r="J78" s="147"/>
      <c r="K78" s="77"/>
      <c r="L78" s="147"/>
      <c r="M78" s="77"/>
      <c r="N78" s="148"/>
    </row>
    <row r="79" spans="1:14" x14ac:dyDescent="0.3">
      <c r="A79" s="879" t="s">
        <v>143</v>
      </c>
      <c r="B79" s="880"/>
      <c r="C79" s="880"/>
      <c r="D79" s="880"/>
      <c r="E79" s="880"/>
      <c r="F79" s="880"/>
      <c r="G79" s="880"/>
      <c r="H79" s="880"/>
      <c r="I79" s="880"/>
      <c r="J79" s="880"/>
      <c r="K79" s="880"/>
      <c r="L79" s="149">
        <v>1.4</v>
      </c>
      <c r="M79" s="881"/>
      <c r="N79" s="881"/>
    </row>
    <row r="80" spans="1:14" ht="15" thickBot="1" x14ac:dyDescent="0.35">
      <c r="A80" s="882" t="s">
        <v>144</v>
      </c>
      <c r="B80" s="883"/>
      <c r="C80" s="883"/>
      <c r="D80" s="883"/>
      <c r="E80" s="883"/>
      <c r="F80" s="883"/>
      <c r="G80" s="884"/>
      <c r="H80" s="885" t="s">
        <v>145</v>
      </c>
      <c r="I80" s="886"/>
      <c r="J80" s="886"/>
      <c r="K80" s="886"/>
      <c r="L80" s="103">
        <v>164</v>
      </c>
      <c r="M80" s="102" t="s">
        <v>114</v>
      </c>
      <c r="N80" s="103"/>
    </row>
    <row r="81" spans="1:14" ht="15" thickBot="1" x14ac:dyDescent="0.35">
      <c r="A81" s="887" t="s">
        <v>138</v>
      </c>
      <c r="B81" s="888"/>
      <c r="C81" s="888"/>
      <c r="D81" s="888"/>
      <c r="E81" s="888"/>
      <c r="F81" s="888"/>
      <c r="G81" s="889"/>
      <c r="H81" s="887" t="s">
        <v>140</v>
      </c>
      <c r="I81" s="888"/>
      <c r="J81" s="888"/>
      <c r="K81" s="888"/>
      <c r="L81" s="888"/>
      <c r="M81" s="888"/>
      <c r="N81" s="890"/>
    </row>
    <row r="82" spans="1:14" x14ac:dyDescent="0.3">
      <c r="A82" s="819" t="s">
        <v>139</v>
      </c>
      <c r="B82" s="820"/>
      <c r="C82" s="820"/>
      <c r="D82" s="820"/>
      <c r="E82" s="909"/>
      <c r="F82" s="104">
        <v>0</v>
      </c>
      <c r="G82" s="105"/>
      <c r="H82" s="910" t="s">
        <v>141</v>
      </c>
      <c r="I82" s="911"/>
      <c r="J82" s="911"/>
      <c r="K82" s="911"/>
      <c r="L82" s="911"/>
      <c r="M82" s="912"/>
      <c r="N82" s="106"/>
    </row>
    <row r="83" spans="1:14" ht="15" thickBot="1" x14ac:dyDescent="0.35">
      <c r="A83" s="861"/>
      <c r="B83" s="862"/>
      <c r="C83" s="862"/>
      <c r="D83" s="862"/>
      <c r="E83" s="863"/>
      <c r="F83" s="107"/>
      <c r="G83" s="68"/>
      <c r="H83" s="108" t="s">
        <v>142</v>
      </c>
      <c r="I83" s="68"/>
      <c r="J83" s="68"/>
      <c r="K83" s="68"/>
      <c r="L83" s="68"/>
      <c r="M83" s="109"/>
      <c r="N83" s="110">
        <f>J15</f>
        <v>68</v>
      </c>
    </row>
    <row r="84" spans="1:14" x14ac:dyDescent="0.3">
      <c r="A84" s="20"/>
      <c r="B84" s="20"/>
      <c r="C84" s="20"/>
      <c r="D84" s="20"/>
      <c r="E84" s="20"/>
      <c r="F84" s="14"/>
      <c r="G84" s="14"/>
      <c r="H84" s="14"/>
      <c r="I84" s="14"/>
      <c r="J84" s="20"/>
      <c r="K84" s="20"/>
      <c r="L84" s="14"/>
      <c r="M84" s="20"/>
      <c r="N84" s="14"/>
    </row>
    <row r="85" spans="1:14" ht="15" thickBot="1" x14ac:dyDescent="0.35">
      <c r="A85" s="111" t="s">
        <v>146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14"/>
    </row>
    <row r="86" spans="1:14" x14ac:dyDescent="0.3">
      <c r="A86" s="864" t="s">
        <v>147</v>
      </c>
      <c r="B86" s="865"/>
      <c r="C86" s="865"/>
      <c r="D86" s="865"/>
      <c r="E86" s="866"/>
      <c r="F86" s="870" t="s">
        <v>148</v>
      </c>
      <c r="G86" s="871"/>
      <c r="H86" s="871"/>
      <c r="I86" s="871"/>
      <c r="J86" s="872"/>
      <c r="K86" s="873"/>
      <c r="L86" s="20"/>
      <c r="M86" s="20"/>
      <c r="N86" s="14"/>
    </row>
    <row r="87" spans="1:14" ht="15" thickBot="1" x14ac:dyDescent="0.35">
      <c r="A87" s="867"/>
      <c r="B87" s="868"/>
      <c r="C87" s="868"/>
      <c r="D87" s="868"/>
      <c r="E87" s="869"/>
      <c r="F87" s="874" t="s">
        <v>152</v>
      </c>
      <c r="G87" s="875"/>
      <c r="H87" s="876" t="s">
        <v>153</v>
      </c>
      <c r="I87" s="877"/>
      <c r="J87" s="877"/>
      <c r="K87" s="878"/>
      <c r="L87" s="20"/>
      <c r="M87" s="20"/>
      <c r="N87" s="14"/>
    </row>
    <row r="88" spans="1:14" x14ac:dyDescent="0.3">
      <c r="A88" s="830" t="s">
        <v>149</v>
      </c>
      <c r="B88" s="814"/>
      <c r="C88" s="814"/>
      <c r="D88" s="814"/>
      <c r="E88" s="814"/>
      <c r="F88" s="907"/>
      <c r="G88" s="907"/>
      <c r="H88" s="907"/>
      <c r="I88" s="907"/>
      <c r="J88" s="907"/>
      <c r="K88" s="908"/>
      <c r="L88" s="20"/>
      <c r="M88" s="20"/>
      <c r="N88" s="14"/>
    </row>
    <row r="89" spans="1:14" x14ac:dyDescent="0.3">
      <c r="A89" s="834" t="s">
        <v>150</v>
      </c>
      <c r="B89" s="769"/>
      <c r="C89" s="769"/>
      <c r="D89" s="769"/>
      <c r="E89" s="769"/>
      <c r="F89" s="905"/>
      <c r="G89" s="905"/>
      <c r="H89" s="905"/>
      <c r="I89" s="905"/>
      <c r="J89" s="905"/>
      <c r="K89" s="906"/>
      <c r="L89" s="20"/>
      <c r="M89" s="20"/>
      <c r="N89" s="14"/>
    </row>
    <row r="90" spans="1:14" x14ac:dyDescent="0.3">
      <c r="A90" s="834" t="s">
        <v>151</v>
      </c>
      <c r="B90" s="769"/>
      <c r="C90" s="769"/>
      <c r="D90" s="769"/>
      <c r="E90" s="769"/>
      <c r="F90" s="905"/>
      <c r="G90" s="905"/>
      <c r="H90" s="905"/>
      <c r="I90" s="905"/>
      <c r="J90" s="905"/>
      <c r="K90" s="906"/>
      <c r="L90" s="20"/>
      <c r="M90" s="20"/>
      <c r="N90" s="14"/>
    </row>
    <row r="91" spans="1:14" x14ac:dyDescent="0.3">
      <c r="A91" s="20"/>
      <c r="B91" s="20"/>
      <c r="C91" s="20"/>
      <c r="D91" s="20"/>
      <c r="E91" s="20"/>
      <c r="F91" s="610"/>
      <c r="G91" s="610"/>
      <c r="H91" s="610"/>
      <c r="I91" s="610"/>
      <c r="J91" s="610"/>
      <c r="K91" s="610"/>
      <c r="L91" s="20"/>
      <c r="M91" s="20"/>
      <c r="N91" s="14"/>
    </row>
    <row r="92" spans="1:14" x14ac:dyDescent="0.3">
      <c r="A92" s="20"/>
      <c r="B92" s="20"/>
      <c r="C92" s="20"/>
      <c r="D92" s="20"/>
      <c r="E92" s="20"/>
      <c r="F92" s="610"/>
      <c r="G92" s="610"/>
      <c r="H92" s="610"/>
      <c r="I92" s="610"/>
      <c r="J92" s="610"/>
      <c r="K92" s="610"/>
      <c r="L92" s="20"/>
      <c r="M92" s="20"/>
      <c r="N92" s="14"/>
    </row>
    <row r="93" spans="1:14" x14ac:dyDescent="0.3">
      <c r="A93" s="20"/>
      <c r="B93" s="20"/>
      <c r="C93" s="20"/>
      <c r="D93" s="20"/>
      <c r="E93" s="20"/>
      <c r="F93" s="610"/>
      <c r="G93" s="610"/>
      <c r="H93" s="610"/>
      <c r="I93" s="610"/>
      <c r="J93" s="610"/>
      <c r="K93" s="610"/>
      <c r="L93" s="20"/>
      <c r="M93" s="20"/>
      <c r="N93" s="14"/>
    </row>
    <row r="94" spans="1:14" x14ac:dyDescent="0.3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14"/>
    </row>
    <row r="95" spans="1:14" x14ac:dyDescent="0.3">
      <c r="A95" s="111" t="s">
        <v>154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14"/>
    </row>
    <row r="96" spans="1:14" x14ac:dyDescent="0.3">
      <c r="A96" s="111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14"/>
    </row>
    <row r="97" spans="1:14" x14ac:dyDescent="0.3">
      <c r="A97" s="900" t="s">
        <v>155</v>
      </c>
      <c r="B97" s="901"/>
      <c r="C97" s="901"/>
      <c r="D97" s="901"/>
      <c r="E97" s="901"/>
      <c r="F97" s="901"/>
      <c r="G97" s="901"/>
      <c r="H97" s="901"/>
      <c r="I97" s="843"/>
      <c r="J97" s="843"/>
      <c r="K97" s="843"/>
      <c r="L97" s="902"/>
      <c r="M97" s="903" t="s">
        <v>156</v>
      </c>
      <c r="N97" s="904"/>
    </row>
    <row r="98" spans="1:14" x14ac:dyDescent="0.3">
      <c r="A98" s="58" t="s">
        <v>157</v>
      </c>
      <c r="B98" s="112"/>
      <c r="C98" s="112"/>
      <c r="D98" s="112"/>
      <c r="E98" s="112"/>
      <c r="F98" s="112"/>
      <c r="G98" s="112"/>
      <c r="H98" s="112"/>
      <c r="I98" s="113"/>
      <c r="J98" s="58"/>
      <c r="K98" s="58"/>
      <c r="L98" s="58"/>
      <c r="M98" s="897">
        <v>0.1075</v>
      </c>
      <c r="N98" s="897"/>
    </row>
    <row r="99" spans="1:14" x14ac:dyDescent="0.3">
      <c r="A99" s="769" t="s">
        <v>158</v>
      </c>
      <c r="B99" s="898"/>
      <c r="C99" s="898"/>
      <c r="D99" s="898"/>
      <c r="E99" s="898"/>
      <c r="F99" s="898"/>
      <c r="G99" s="898"/>
      <c r="H99" s="898"/>
      <c r="I99" s="898"/>
      <c r="J99" s="898"/>
      <c r="K99" s="898"/>
      <c r="L99" s="898"/>
      <c r="M99" s="899"/>
      <c r="N99" s="899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7"/>
    </row>
    <row r="101" spans="1:14" x14ac:dyDescent="0.3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1:14" x14ac:dyDescent="0.3">
      <c r="A102" s="16"/>
      <c r="B102" s="16"/>
      <c r="C102" s="16"/>
      <c r="D102" s="16" t="s">
        <v>108</v>
      </c>
      <c r="E102" s="16"/>
      <c r="F102" s="16"/>
      <c r="G102" s="896" t="s">
        <v>109</v>
      </c>
      <c r="H102" s="896"/>
      <c r="I102" s="896"/>
      <c r="J102" s="892"/>
      <c r="K102" s="892"/>
      <c r="L102" s="892"/>
      <c r="M102" s="892"/>
      <c r="N102" s="16"/>
    </row>
    <row r="103" spans="1:14" x14ac:dyDescent="0.3">
      <c r="A103" s="16"/>
      <c r="B103" s="16"/>
      <c r="C103" s="16"/>
      <c r="D103" s="16" t="s">
        <v>110</v>
      </c>
      <c r="E103" s="16"/>
      <c r="F103" s="16"/>
      <c r="G103" s="891"/>
      <c r="H103" s="891"/>
      <c r="I103" s="891"/>
      <c r="J103" s="892"/>
      <c r="K103" s="892"/>
      <c r="L103" s="892"/>
      <c r="M103" s="892"/>
      <c r="N103" s="16"/>
    </row>
  </sheetData>
  <mergeCells count="184">
    <mergeCell ref="G103:I103"/>
    <mergeCell ref="J103:M103"/>
    <mergeCell ref="A39:H40"/>
    <mergeCell ref="A45:H46"/>
    <mergeCell ref="A38:N38"/>
    <mergeCell ref="A2:N2"/>
    <mergeCell ref="G102:I102"/>
    <mergeCell ref="J102:M102"/>
    <mergeCell ref="M98:N98"/>
    <mergeCell ref="A99:L99"/>
    <mergeCell ref="M99:N99"/>
    <mergeCell ref="A97:L97"/>
    <mergeCell ref="M97:N97"/>
    <mergeCell ref="A90:E90"/>
    <mergeCell ref="F90:G90"/>
    <mergeCell ref="H90:K90"/>
    <mergeCell ref="A88:E88"/>
    <mergeCell ref="F88:G88"/>
    <mergeCell ref="H88:K88"/>
    <mergeCell ref="A89:E89"/>
    <mergeCell ref="F89:G89"/>
    <mergeCell ref="H89:K89"/>
    <mergeCell ref="A82:E82"/>
    <mergeCell ref="H82:M82"/>
    <mergeCell ref="A83:E83"/>
    <mergeCell ref="A86:E87"/>
    <mergeCell ref="F86:K86"/>
    <mergeCell ref="F87:G87"/>
    <mergeCell ref="H87:K87"/>
    <mergeCell ref="A79:K79"/>
    <mergeCell ref="M79:N79"/>
    <mergeCell ref="A80:G80"/>
    <mergeCell ref="H80:K80"/>
    <mergeCell ref="A81:G81"/>
    <mergeCell ref="H81:N81"/>
    <mergeCell ref="A73:D73"/>
    <mergeCell ref="K73:M73"/>
    <mergeCell ref="A75:E75"/>
    <mergeCell ref="F75:N75"/>
    <mergeCell ref="A76:D76"/>
    <mergeCell ref="A77:D77"/>
    <mergeCell ref="A71:D71"/>
    <mergeCell ref="F71:I71"/>
    <mergeCell ref="K71:M71"/>
    <mergeCell ref="A72:D72"/>
    <mergeCell ref="F72:I72"/>
    <mergeCell ref="K72:M72"/>
    <mergeCell ref="A67:D67"/>
    <mergeCell ref="F67:I67"/>
    <mergeCell ref="K67:M67"/>
    <mergeCell ref="K68:M68"/>
    <mergeCell ref="A70:E70"/>
    <mergeCell ref="F70:N70"/>
    <mergeCell ref="A63:D63"/>
    <mergeCell ref="F63:H63"/>
    <mergeCell ref="A65:E65"/>
    <mergeCell ref="F65:N65"/>
    <mergeCell ref="A66:D66"/>
    <mergeCell ref="K66:M66"/>
    <mergeCell ref="K58:M58"/>
    <mergeCell ref="A60:E60"/>
    <mergeCell ref="F60:N60"/>
    <mergeCell ref="A61:D61"/>
    <mergeCell ref="F61:H61"/>
    <mergeCell ref="A62:D62"/>
    <mergeCell ref="F62:H62"/>
    <mergeCell ref="H55:I55"/>
    <mergeCell ref="K55:M55"/>
    <mergeCell ref="A56:D56"/>
    <mergeCell ref="F56:G57"/>
    <mergeCell ref="K56:M56"/>
    <mergeCell ref="A57:D57"/>
    <mergeCell ref="K57:M57"/>
    <mergeCell ref="C51:L51"/>
    <mergeCell ref="A53:E53"/>
    <mergeCell ref="F53:N53"/>
    <mergeCell ref="A54:D54"/>
    <mergeCell ref="F54:G55"/>
    <mergeCell ref="H54:I54"/>
    <mergeCell ref="K54:M54"/>
    <mergeCell ref="A55:D55"/>
    <mergeCell ref="A50:F50"/>
    <mergeCell ref="H50:M50"/>
    <mergeCell ref="A48:G49"/>
    <mergeCell ref="H48:K48"/>
    <mergeCell ref="L48:N48"/>
    <mergeCell ref="H49:K49"/>
    <mergeCell ref="L49:N49"/>
    <mergeCell ref="I46:J46"/>
    <mergeCell ref="A47:G47"/>
    <mergeCell ref="I47:J47"/>
    <mergeCell ref="A44:G4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7" zoomScaleNormal="100" workbookViewId="0">
      <selection activeCell="J15" sqref="J15:K15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244" t="str">
        <f>CONCATENATE(кошторис!B4)</f>
        <v>м. КанівШевченка21</v>
      </c>
      <c r="B1" s="1245"/>
      <c r="C1" s="1245"/>
      <c r="D1" s="1103"/>
      <c r="E1" s="1103"/>
      <c r="H1" s="1246" t="s">
        <v>214</v>
      </c>
      <c r="I1" s="1246"/>
      <c r="J1" s="1246"/>
      <c r="K1" s="1246"/>
    </row>
    <row r="2" spans="1:11" x14ac:dyDescent="0.3">
      <c r="H2" s="1246" t="str">
        <f>прибирання!G2</f>
        <v>Директор</v>
      </c>
      <c r="I2" s="1246"/>
      <c r="J2" s="1246"/>
      <c r="K2" s="1246"/>
    </row>
    <row r="3" spans="1:11" x14ac:dyDescent="0.3">
      <c r="H3" s="1247" t="s">
        <v>638</v>
      </c>
      <c r="I3" s="1247"/>
      <c r="J3" s="1247"/>
      <c r="K3" s="1247"/>
    </row>
    <row r="4" spans="1:11" x14ac:dyDescent="0.3">
      <c r="H4" s="252"/>
      <c r="I4" s="253"/>
      <c r="J4" s="1248" t="s">
        <v>296</v>
      </c>
      <c r="K4" s="1248"/>
    </row>
    <row r="6" spans="1:11" x14ac:dyDescent="0.3">
      <c r="A6" s="1249" t="s">
        <v>300</v>
      </c>
      <c r="B6" s="1249"/>
      <c r="C6" s="1249"/>
      <c r="D6" s="1249"/>
      <c r="E6" s="1249"/>
      <c r="F6" s="1249"/>
      <c r="G6" s="1249"/>
      <c r="H6" s="1249"/>
      <c r="I6" s="1249"/>
      <c r="J6" s="1249"/>
    </row>
    <row r="7" spans="1:11" ht="43.2" customHeight="1" x14ac:dyDescent="0.3">
      <c r="A7" s="1319" t="s">
        <v>930</v>
      </c>
      <c r="B7" s="1319"/>
      <c r="C7" s="1319"/>
      <c r="D7" s="1319"/>
      <c r="E7" s="1319"/>
      <c r="F7" s="1319"/>
      <c r="G7" s="1319"/>
      <c r="H7" s="1319"/>
      <c r="I7" s="1319"/>
      <c r="J7" s="1319"/>
      <c r="K7" s="1319"/>
    </row>
    <row r="8" spans="1:11" x14ac:dyDescent="0.3">
      <c r="A8" s="1320" t="s">
        <v>639</v>
      </c>
      <c r="B8" s="1320"/>
      <c r="C8" s="1320"/>
      <c r="D8" s="1320"/>
      <c r="E8" s="1320"/>
      <c r="F8" s="1320"/>
      <c r="G8" s="1320"/>
      <c r="H8" s="1320"/>
      <c r="I8" s="1320"/>
      <c r="J8" s="1320"/>
      <c r="K8" s="1320"/>
    </row>
    <row r="9" spans="1:11" ht="26.4" x14ac:dyDescent="0.3">
      <c r="A9" s="184" t="s">
        <v>230</v>
      </c>
      <c r="B9" s="1242" t="s">
        <v>217</v>
      </c>
      <c r="C9" s="1224"/>
      <c r="D9" s="1224"/>
      <c r="E9" s="1224"/>
      <c r="F9" s="1224"/>
      <c r="G9" s="184" t="s">
        <v>218</v>
      </c>
      <c r="H9" s="1242" t="s">
        <v>219</v>
      </c>
      <c r="I9" s="1224"/>
      <c r="J9" s="1317" t="s">
        <v>505</v>
      </c>
      <c r="K9" s="1318"/>
    </row>
    <row r="10" spans="1:11" ht="16.2" customHeight="1" x14ac:dyDescent="0.3">
      <c r="A10" s="184">
        <v>1</v>
      </c>
      <c r="B10" s="1230" t="s">
        <v>640</v>
      </c>
      <c r="C10" s="1141"/>
      <c r="D10" s="1141"/>
      <c r="E10" s="1141"/>
      <c r="F10" s="1141"/>
      <c r="G10" s="261" t="s">
        <v>181</v>
      </c>
      <c r="H10" s="1232">
        <f t="shared" ref="H10:H14" si="0">J10*12</f>
        <v>13154.195425589567</v>
      </c>
      <c r="I10" s="1233"/>
      <c r="J10" s="1232">
        <f>J117+J118</f>
        <v>1096.1829521324639</v>
      </c>
      <c r="K10" s="1239"/>
    </row>
    <row r="11" spans="1:11" ht="32.4" customHeight="1" x14ac:dyDescent="0.3">
      <c r="A11" s="184">
        <v>2</v>
      </c>
      <c r="B11" s="1240" t="s">
        <v>641</v>
      </c>
      <c r="C11" s="1241"/>
      <c r="D11" s="1241"/>
      <c r="E11" s="1241"/>
      <c r="F11" s="1241"/>
      <c r="G11" s="261" t="s">
        <v>181</v>
      </c>
      <c r="H11" s="1232">
        <f t="shared" si="0"/>
        <v>2893.9229936297047</v>
      </c>
      <c r="I11" s="1233"/>
      <c r="J11" s="1232">
        <f>J10*розрахунок!D13/100</f>
        <v>241.16024946914206</v>
      </c>
      <c r="K11" s="1239"/>
    </row>
    <row r="12" spans="1:11" x14ac:dyDescent="0.3">
      <c r="A12" s="184">
        <v>3</v>
      </c>
      <c r="B12" s="1230" t="s">
        <v>504</v>
      </c>
      <c r="C12" s="1231"/>
      <c r="D12" s="1231"/>
      <c r="E12" s="1231"/>
      <c r="F12" s="1231"/>
      <c r="G12" s="261" t="s">
        <v>181</v>
      </c>
      <c r="H12" s="1232">
        <f t="shared" si="0"/>
        <v>15531.582883376332</v>
      </c>
      <c r="I12" s="1233"/>
      <c r="J12" s="1232">
        <f>K125</f>
        <v>1294.2985736146943</v>
      </c>
      <c r="K12" s="1239"/>
    </row>
    <row r="13" spans="1:11" x14ac:dyDescent="0.3">
      <c r="A13" s="184">
        <v>4</v>
      </c>
      <c r="B13" s="1230" t="s">
        <v>642</v>
      </c>
      <c r="C13" s="1231"/>
      <c r="D13" s="1231"/>
      <c r="E13" s="1231"/>
      <c r="F13" s="1231"/>
      <c r="G13" s="261" t="s">
        <v>181</v>
      </c>
      <c r="H13" s="1232">
        <f t="shared" si="0"/>
        <v>5484.0493789847797</v>
      </c>
      <c r="I13" s="1233"/>
      <c r="J13" s="1232">
        <f>інвентар!I10+інвентар!I11+'ТО внутріньобудин'!H140+'ТО внутріньобудин'!I143</f>
        <v>457.0041149153983</v>
      </c>
      <c r="K13" s="1239"/>
    </row>
    <row r="14" spans="1:11" x14ac:dyDescent="0.3">
      <c r="A14" s="184">
        <v>5</v>
      </c>
      <c r="B14" s="1230" t="s">
        <v>491</v>
      </c>
      <c r="C14" s="1231"/>
      <c r="D14" s="1231"/>
      <c r="E14" s="1231"/>
      <c r="F14" s="1231"/>
      <c r="G14" s="261" t="s">
        <v>181</v>
      </c>
      <c r="H14" s="1232">
        <f t="shared" si="0"/>
        <v>0</v>
      </c>
      <c r="I14" s="1233"/>
      <c r="J14" s="1234">
        <v>0</v>
      </c>
      <c r="K14" s="1210"/>
    </row>
    <row r="15" spans="1:11" ht="16.2" customHeight="1" x14ac:dyDescent="0.3">
      <c r="A15" s="184">
        <v>6</v>
      </c>
      <c r="B15" s="1263" t="s">
        <v>506</v>
      </c>
      <c r="C15" s="1314"/>
      <c r="D15" s="1314"/>
      <c r="E15" s="1314"/>
      <c r="F15" s="1315"/>
      <c r="G15" s="261" t="s">
        <v>181</v>
      </c>
      <c r="H15" s="1232">
        <f>J15*12</f>
        <v>22661.760000000002</v>
      </c>
      <c r="I15" s="1233"/>
      <c r="J15" s="1234">
        <f>ROUND(розрахунок!D25*Характеристика!N18,2)</f>
        <v>1888.48</v>
      </c>
      <c r="K15" s="1316"/>
    </row>
    <row r="16" spans="1:11" ht="15.6" customHeight="1" x14ac:dyDescent="0.3">
      <c r="A16" s="184">
        <v>7</v>
      </c>
      <c r="B16" s="1223" t="s">
        <v>221</v>
      </c>
      <c r="C16" s="1235"/>
      <c r="D16" s="1235"/>
      <c r="E16" s="1235"/>
      <c r="F16" s="1235"/>
      <c r="G16" s="184" t="s">
        <v>181</v>
      </c>
      <c r="H16" s="1236">
        <f>SUM(H10:H15)</f>
        <v>59725.510681580388</v>
      </c>
      <c r="I16" s="1237"/>
      <c r="J16" s="1236">
        <f>SUM(J10:J15)</f>
        <v>4977.1258901316978</v>
      </c>
      <c r="K16" s="1237"/>
    </row>
    <row r="17" spans="1:11" x14ac:dyDescent="0.3">
      <c r="A17" s="184">
        <v>8</v>
      </c>
      <c r="B17" s="1330" t="s">
        <v>123</v>
      </c>
      <c r="C17" s="1331"/>
      <c r="D17" s="1331"/>
      <c r="E17" s="1331"/>
      <c r="F17" s="1331"/>
      <c r="G17" s="261" t="s">
        <v>223</v>
      </c>
      <c r="H17" s="1234">
        <f>Характеристика!N18</f>
        <v>2941.7</v>
      </c>
      <c r="I17" s="1332"/>
      <c r="J17" s="1332"/>
      <c r="K17" s="1260"/>
    </row>
    <row r="18" spans="1:11" x14ac:dyDescent="0.3">
      <c r="A18" s="184">
        <v>9</v>
      </c>
      <c r="B18" s="1223" t="s">
        <v>502</v>
      </c>
      <c r="C18" s="1224"/>
      <c r="D18" s="1224"/>
      <c r="E18" s="1224"/>
      <c r="F18" s="1224"/>
      <c r="G18" s="184" t="s">
        <v>181</v>
      </c>
      <c r="H18" s="586"/>
      <c r="I18" s="587"/>
      <c r="J18" s="506"/>
      <c r="K18" s="588">
        <f>J16/H17</f>
        <v>1.6919216405927517</v>
      </c>
    </row>
    <row r="19" spans="1:11" x14ac:dyDescent="0.3">
      <c r="A19" s="425"/>
      <c r="B19" s="426"/>
      <c r="C19" s="427"/>
      <c r="D19" s="427"/>
      <c r="E19" s="427"/>
      <c r="F19" s="427"/>
      <c r="G19" s="425"/>
      <c r="H19" s="428"/>
      <c r="I19" s="428"/>
      <c r="J19" s="429"/>
      <c r="K19" s="429"/>
    </row>
    <row r="20" spans="1:11" x14ac:dyDescent="0.3">
      <c r="A20" s="1321" t="s">
        <v>507</v>
      </c>
      <c r="B20" s="1322"/>
      <c r="C20" s="1322"/>
      <c r="D20" s="1322"/>
      <c r="E20" s="1322"/>
      <c r="F20" s="1322"/>
      <c r="G20" s="1322"/>
      <c r="H20" s="1322"/>
      <c r="I20" s="1322"/>
      <c r="J20" s="1322"/>
      <c r="K20" s="1322"/>
    </row>
    <row r="21" spans="1:11" ht="39" customHeight="1" x14ac:dyDescent="0.3">
      <c r="A21" s="1323" t="s">
        <v>769</v>
      </c>
      <c r="B21" s="1324"/>
      <c r="C21" s="1324"/>
      <c r="D21" s="1324"/>
      <c r="E21" s="1324"/>
      <c r="F21" s="1324"/>
      <c r="G21" s="1324"/>
      <c r="H21" s="1324"/>
      <c r="I21" s="1324"/>
      <c r="J21" s="1324"/>
      <c r="K21" s="1324"/>
    </row>
    <row r="22" spans="1:11" ht="30" customHeight="1" x14ac:dyDescent="0.3">
      <c r="A22" s="1325" t="s">
        <v>508</v>
      </c>
      <c r="B22" s="1326"/>
      <c r="C22" s="1326"/>
      <c r="D22" s="1326"/>
      <c r="E22" s="1326"/>
      <c r="F22" s="1326"/>
      <c r="G22" s="1326"/>
      <c r="H22" s="1326"/>
      <c r="I22" s="1326"/>
      <c r="J22" s="1326"/>
      <c r="K22" s="1326"/>
    </row>
    <row r="23" spans="1:11" x14ac:dyDescent="0.3">
      <c r="A23" s="1327" t="str">
        <f>CONCATENATE("Річний фонт робочого часу на ",[1]Расчет!C28," рік")</f>
        <v>Річний фонт робочого часу на  рік</v>
      </c>
      <c r="B23" s="1328"/>
      <c r="C23" s="1328"/>
      <c r="D23" s="1328"/>
      <c r="E23" s="1328"/>
      <c r="F23" s="1329" t="s">
        <v>509</v>
      </c>
      <c r="G23" s="1329"/>
      <c r="H23" s="430">
        <f>розрахунок!D17</f>
        <v>250</v>
      </c>
      <c r="I23" s="1329" t="s">
        <v>178</v>
      </c>
      <c r="J23" s="1329"/>
      <c r="K23" s="430">
        <f>розрахунок!D19</f>
        <v>1993</v>
      </c>
    </row>
    <row r="24" spans="1:11" x14ac:dyDescent="0.3">
      <c r="A24" s="1179" t="s">
        <v>831</v>
      </c>
      <c r="B24" s="1308"/>
      <c r="C24" s="1308"/>
      <c r="D24" s="1308"/>
      <c r="E24" s="1308"/>
      <c r="F24" s="1308"/>
      <c r="G24" s="1308"/>
      <c r="H24" s="1308"/>
      <c r="I24" s="1308"/>
      <c r="J24" s="1308"/>
      <c r="K24" s="1309"/>
    </row>
    <row r="25" spans="1:11" ht="81.599999999999994" x14ac:dyDescent="0.3">
      <c r="A25" s="193" t="s">
        <v>230</v>
      </c>
      <c r="B25" s="1215" t="s">
        <v>231</v>
      </c>
      <c r="C25" s="1216"/>
      <c r="D25" s="411" t="s">
        <v>330</v>
      </c>
      <c r="E25" s="194" t="s">
        <v>510</v>
      </c>
      <c r="F25" s="195" t="s">
        <v>511</v>
      </c>
      <c r="G25" s="1217" t="s">
        <v>512</v>
      </c>
      <c r="H25" s="1216"/>
      <c r="I25" s="196" t="s">
        <v>513</v>
      </c>
      <c r="J25" s="197" t="s">
        <v>236</v>
      </c>
      <c r="K25" s="197" t="s">
        <v>237</v>
      </c>
    </row>
    <row r="26" spans="1:11" x14ac:dyDescent="0.3">
      <c r="A26" s="431">
        <v>1</v>
      </c>
      <c r="B26" s="1335">
        <v>2</v>
      </c>
      <c r="C26" s="1336"/>
      <c r="D26" s="432">
        <v>3</v>
      </c>
      <c r="E26" s="433">
        <v>4</v>
      </c>
      <c r="F26" s="433">
        <v>5</v>
      </c>
      <c r="G26" s="1337">
        <v>6</v>
      </c>
      <c r="H26" s="1338"/>
      <c r="I26" s="433">
        <v>7</v>
      </c>
      <c r="J26" s="433">
        <v>8</v>
      </c>
      <c r="K26" s="434">
        <v>9</v>
      </c>
    </row>
    <row r="27" spans="1:11" x14ac:dyDescent="0.3">
      <c r="A27" s="231">
        <v>1</v>
      </c>
      <c r="B27" s="1303" t="s">
        <v>514</v>
      </c>
      <c r="C27" s="1177"/>
      <c r="D27" s="1177"/>
      <c r="E27" s="1177"/>
      <c r="F27" s="1177"/>
      <c r="G27" s="1177"/>
      <c r="H27" s="1178"/>
      <c r="I27" s="435"/>
      <c r="J27" s="435"/>
      <c r="K27" s="435"/>
    </row>
    <row r="28" spans="1:11" ht="22.8" customHeight="1" x14ac:dyDescent="0.3">
      <c r="A28" s="259" t="s">
        <v>228</v>
      </c>
      <c r="B28" s="1276" t="s">
        <v>515</v>
      </c>
      <c r="C28" s="1333"/>
      <c r="D28" s="436" t="s">
        <v>516</v>
      </c>
      <c r="E28" s="243">
        <v>1360</v>
      </c>
      <c r="F28" s="256">
        <v>2</v>
      </c>
      <c r="G28" s="1334">
        <v>1.2</v>
      </c>
      <c r="H28" s="1334"/>
      <c r="I28" s="254">
        <f>E28/100*F28*G28</f>
        <v>32.64</v>
      </c>
      <c r="J28" s="233">
        <v>75</v>
      </c>
      <c r="K28" s="233" t="s">
        <v>517</v>
      </c>
    </row>
    <row r="29" spans="1:11" ht="25.2" customHeight="1" x14ac:dyDescent="0.3">
      <c r="A29" s="259" t="s">
        <v>518</v>
      </c>
      <c r="B29" s="1276" t="s">
        <v>519</v>
      </c>
      <c r="C29" s="1333"/>
      <c r="D29" s="436" t="s">
        <v>516</v>
      </c>
      <c r="E29" s="243">
        <v>375</v>
      </c>
      <c r="F29" s="256">
        <v>2</v>
      </c>
      <c r="G29" s="1334">
        <v>1.2</v>
      </c>
      <c r="H29" s="1334"/>
      <c r="I29" s="254">
        <f>E29/100*F29*G29</f>
        <v>9</v>
      </c>
      <c r="J29" s="233">
        <v>75</v>
      </c>
      <c r="K29" s="233" t="s">
        <v>517</v>
      </c>
    </row>
    <row r="30" spans="1:11" ht="33.6" customHeight="1" x14ac:dyDescent="0.3">
      <c r="A30" s="259" t="s">
        <v>521</v>
      </c>
      <c r="B30" s="1276" t="s">
        <v>522</v>
      </c>
      <c r="C30" s="1333"/>
      <c r="D30" s="436" t="s">
        <v>520</v>
      </c>
      <c r="E30" s="243">
        <v>48</v>
      </c>
      <c r="F30" s="256">
        <v>2</v>
      </c>
      <c r="G30" s="1334">
        <v>8.8000000000000007</v>
      </c>
      <c r="H30" s="1334"/>
      <c r="I30" s="254">
        <f>E30/100*F30*G30</f>
        <v>8.4480000000000004</v>
      </c>
      <c r="J30" s="233">
        <v>78</v>
      </c>
      <c r="K30" s="233" t="s">
        <v>523</v>
      </c>
    </row>
    <row r="31" spans="1:11" ht="23.4" customHeight="1" x14ac:dyDescent="0.3">
      <c r="A31" s="259" t="s">
        <v>524</v>
      </c>
      <c r="B31" s="1276" t="s">
        <v>525</v>
      </c>
      <c r="C31" s="1333"/>
      <c r="D31" s="436" t="s">
        <v>516</v>
      </c>
      <c r="E31" s="243">
        <v>500</v>
      </c>
      <c r="F31" s="256">
        <v>2</v>
      </c>
      <c r="G31" s="1334">
        <v>2.2000000000000002</v>
      </c>
      <c r="H31" s="1334"/>
      <c r="I31" s="254">
        <f>E31/100*F31*G31</f>
        <v>22</v>
      </c>
      <c r="J31" s="233">
        <v>79</v>
      </c>
      <c r="K31" s="233" t="s">
        <v>526</v>
      </c>
    </row>
    <row r="32" spans="1:11" x14ac:dyDescent="0.3">
      <c r="A32" s="259" t="s">
        <v>527</v>
      </c>
      <c r="B32" s="1303" t="s">
        <v>528</v>
      </c>
      <c r="C32" s="1177"/>
      <c r="D32" s="1177"/>
      <c r="E32" s="1177"/>
      <c r="F32" s="1177"/>
      <c r="G32" s="1177"/>
      <c r="H32" s="1178"/>
      <c r="I32" s="437"/>
      <c r="J32" s="438"/>
      <c r="K32" s="174"/>
    </row>
    <row r="33" spans="1:11" x14ac:dyDescent="0.3">
      <c r="A33" s="259" t="s">
        <v>529</v>
      </c>
      <c r="B33" s="1303" t="s">
        <v>530</v>
      </c>
      <c r="C33" s="1340"/>
      <c r="D33" s="1341"/>
      <c r="E33" s="1341"/>
      <c r="F33" s="1341"/>
      <c r="G33" s="1341"/>
      <c r="H33" s="1342"/>
      <c r="I33" s="254"/>
      <c r="J33" s="233"/>
      <c r="K33" s="233"/>
    </row>
    <row r="34" spans="1:11" ht="25.8" customHeight="1" x14ac:dyDescent="0.3">
      <c r="A34" s="259" t="s">
        <v>531</v>
      </c>
      <c r="B34" s="1339" t="s">
        <v>532</v>
      </c>
      <c r="C34" s="1339"/>
      <c r="D34" s="436" t="s">
        <v>516</v>
      </c>
      <c r="E34" s="257">
        <v>1360</v>
      </c>
      <c r="F34" s="408">
        <v>1</v>
      </c>
      <c r="G34" s="1175">
        <v>0.48</v>
      </c>
      <c r="H34" s="1175"/>
      <c r="I34" s="254">
        <f>E34*F34/100*G34</f>
        <v>6.5279999999999996</v>
      </c>
      <c r="J34" s="233">
        <v>81</v>
      </c>
      <c r="K34" s="233" t="s">
        <v>533</v>
      </c>
    </row>
    <row r="35" spans="1:11" ht="27.6" customHeight="1" x14ac:dyDescent="0.3">
      <c r="A35" s="259" t="s">
        <v>534</v>
      </c>
      <c r="B35" s="1339" t="s">
        <v>535</v>
      </c>
      <c r="C35" s="1339"/>
      <c r="D35" s="436" t="s">
        <v>516</v>
      </c>
      <c r="E35" s="257">
        <v>1360</v>
      </c>
      <c r="F35" s="408">
        <v>1</v>
      </c>
      <c r="G35" s="1175">
        <v>1.73</v>
      </c>
      <c r="H35" s="1175"/>
      <c r="I35" s="254">
        <f>E35*F35/100*G35</f>
        <v>23.527999999999999</v>
      </c>
      <c r="J35" s="233">
        <v>81</v>
      </c>
      <c r="K35" s="233" t="s">
        <v>536</v>
      </c>
    </row>
    <row r="36" spans="1:11" ht="24" customHeight="1" x14ac:dyDescent="0.3">
      <c r="A36" s="259" t="s">
        <v>537</v>
      </c>
      <c r="B36" s="1276" t="s">
        <v>538</v>
      </c>
      <c r="C36" s="1333"/>
      <c r="D36" s="436" t="s">
        <v>516</v>
      </c>
      <c r="E36" s="243">
        <v>1360</v>
      </c>
      <c r="F36" s="256">
        <v>1</v>
      </c>
      <c r="G36" s="1334">
        <v>2.2000000000000002</v>
      </c>
      <c r="H36" s="1334"/>
      <c r="I36" s="254">
        <f>E36/100*F36*G36</f>
        <v>29.92</v>
      </c>
      <c r="J36" s="233">
        <v>82</v>
      </c>
      <c r="K36" s="233" t="s">
        <v>539</v>
      </c>
    </row>
    <row r="37" spans="1:11" ht="16.8" customHeight="1" x14ac:dyDescent="0.3">
      <c r="A37" s="259" t="s">
        <v>540</v>
      </c>
      <c r="B37" s="1276" t="s">
        <v>541</v>
      </c>
      <c r="C37" s="1333"/>
      <c r="D37" s="436" t="s">
        <v>542</v>
      </c>
      <c r="E37" s="243">
        <v>2</v>
      </c>
      <c r="F37" s="256">
        <v>1</v>
      </c>
      <c r="G37" s="1334">
        <v>1.5</v>
      </c>
      <c r="H37" s="1334"/>
      <c r="I37" s="254">
        <f>E37*F37*G37</f>
        <v>3</v>
      </c>
      <c r="J37" s="233">
        <v>82</v>
      </c>
      <c r="K37" s="233" t="s">
        <v>543</v>
      </c>
    </row>
    <row r="38" spans="1:11" ht="26.4" hidden="1" customHeight="1" x14ac:dyDescent="0.3">
      <c r="A38" s="259"/>
      <c r="B38" s="1276" t="s">
        <v>544</v>
      </c>
      <c r="C38" s="1333"/>
      <c r="D38" s="436" t="s">
        <v>168</v>
      </c>
      <c r="E38" s="243">
        <f>[1]Таблица_Характеристика!M77*0</f>
        <v>0</v>
      </c>
      <c r="F38" s="256">
        <v>1</v>
      </c>
      <c r="G38" s="1334">
        <v>1.2</v>
      </c>
      <c r="H38" s="1334"/>
      <c r="I38" s="254">
        <f>E38*F38*G38</f>
        <v>0</v>
      </c>
      <c r="J38" s="233">
        <v>82</v>
      </c>
      <c r="K38" s="233" t="s">
        <v>545</v>
      </c>
    </row>
    <row r="39" spans="1:11" hidden="1" x14ac:dyDescent="0.3">
      <c r="A39" s="259" t="s">
        <v>546</v>
      </c>
      <c r="B39" s="1303" t="s">
        <v>547</v>
      </c>
      <c r="C39" s="1340"/>
      <c r="D39" s="1341"/>
      <c r="E39" s="1341"/>
      <c r="F39" s="1341"/>
      <c r="G39" s="1341"/>
      <c r="H39" s="1342"/>
      <c r="I39" s="254"/>
      <c r="J39" s="233"/>
      <c r="K39" s="233"/>
    </row>
    <row r="40" spans="1:11" ht="31.8" hidden="1" customHeight="1" x14ac:dyDescent="0.3">
      <c r="A40" s="259"/>
      <c r="B40" s="1276" t="s">
        <v>548</v>
      </c>
      <c r="C40" s="1333"/>
      <c r="D40" s="436" t="s">
        <v>516</v>
      </c>
      <c r="E40" s="243"/>
      <c r="F40" s="243">
        <v>0.25</v>
      </c>
      <c r="G40" s="1334">
        <v>6.2</v>
      </c>
      <c r="H40" s="1334"/>
      <c r="I40" s="254">
        <f>E40/100*F40*G40</f>
        <v>0</v>
      </c>
      <c r="J40" s="233">
        <v>83</v>
      </c>
      <c r="K40" s="233" t="s">
        <v>549</v>
      </c>
    </row>
    <row r="41" spans="1:11" ht="22.2" hidden="1" customHeight="1" x14ac:dyDescent="0.3">
      <c r="A41" s="259"/>
      <c r="B41" s="1276" t="s">
        <v>550</v>
      </c>
      <c r="C41" s="1333"/>
      <c r="D41" s="436" t="s">
        <v>516</v>
      </c>
      <c r="E41" s="439"/>
      <c r="F41" s="243">
        <v>0.25</v>
      </c>
      <c r="G41" s="1334">
        <v>8.4</v>
      </c>
      <c r="H41" s="1334"/>
      <c r="I41" s="254">
        <f>E41/100*F41*G41</f>
        <v>0</v>
      </c>
      <c r="J41" s="233">
        <v>83</v>
      </c>
      <c r="K41" s="233" t="s">
        <v>551</v>
      </c>
    </row>
    <row r="42" spans="1:11" ht="24.6" hidden="1" customHeight="1" x14ac:dyDescent="0.3">
      <c r="A42" s="259"/>
      <c r="B42" s="1276" t="s">
        <v>552</v>
      </c>
      <c r="C42" s="1333"/>
      <c r="D42" s="436" t="s">
        <v>168</v>
      </c>
      <c r="E42" s="243"/>
      <c r="F42" s="243">
        <v>0.25</v>
      </c>
      <c r="G42" s="1334">
        <v>2.1</v>
      </c>
      <c r="H42" s="1334"/>
      <c r="I42" s="254">
        <f t="shared" ref="I42:I49" si="1">E42/100*F42*G42</f>
        <v>0</v>
      </c>
      <c r="J42" s="233">
        <v>83</v>
      </c>
      <c r="K42" s="233" t="s">
        <v>553</v>
      </c>
    </row>
    <row r="43" spans="1:11" ht="22.8" hidden="1" customHeight="1" x14ac:dyDescent="0.3">
      <c r="A43" s="259"/>
      <c r="B43" s="1276" t="s">
        <v>554</v>
      </c>
      <c r="C43" s="1333"/>
      <c r="D43" s="436" t="s">
        <v>555</v>
      </c>
      <c r="E43" s="243"/>
      <c r="F43" s="256"/>
      <c r="G43" s="1334"/>
      <c r="H43" s="1334"/>
      <c r="I43" s="254">
        <f t="shared" si="1"/>
        <v>0</v>
      </c>
      <c r="J43" s="233"/>
      <c r="K43" s="233"/>
    </row>
    <row r="44" spans="1:11" ht="15" customHeight="1" x14ac:dyDescent="0.3">
      <c r="A44" s="259"/>
      <c r="B44" s="1343"/>
      <c r="C44" s="1344"/>
      <c r="D44" s="1344"/>
      <c r="E44" s="1344"/>
      <c r="F44" s="1344"/>
      <c r="G44" s="1344"/>
      <c r="H44" s="1345"/>
      <c r="I44" s="254"/>
      <c r="J44" s="233"/>
      <c r="K44" s="233"/>
    </row>
    <row r="45" spans="1:11" ht="20.399999999999999" hidden="1" customHeight="1" x14ac:dyDescent="0.3">
      <c r="A45" s="259"/>
      <c r="B45" s="1306" t="s">
        <v>557</v>
      </c>
      <c r="C45" s="1346"/>
      <c r="D45" s="436" t="s">
        <v>516</v>
      </c>
      <c r="E45" s="243"/>
      <c r="F45" s="243">
        <v>0.25</v>
      </c>
      <c r="G45" s="1347">
        <v>21.3</v>
      </c>
      <c r="H45" s="1348"/>
      <c r="I45" s="254">
        <f t="shared" si="1"/>
        <v>0</v>
      </c>
      <c r="J45" s="233">
        <v>86</v>
      </c>
      <c r="K45" s="233" t="s">
        <v>558</v>
      </c>
    </row>
    <row r="46" spans="1:11" ht="25.8" hidden="1" customHeight="1" x14ac:dyDescent="0.3">
      <c r="A46" s="259"/>
      <c r="B46" s="1306" t="s">
        <v>559</v>
      </c>
      <c r="C46" s="1346"/>
      <c r="D46" s="436" t="s">
        <v>516</v>
      </c>
      <c r="E46" s="243"/>
      <c r="F46" s="243">
        <v>0.25</v>
      </c>
      <c r="G46" s="1347">
        <v>23.2</v>
      </c>
      <c r="H46" s="1348"/>
      <c r="I46" s="254">
        <f t="shared" si="1"/>
        <v>0</v>
      </c>
      <c r="J46" s="233">
        <v>86</v>
      </c>
      <c r="K46" s="233" t="s">
        <v>560</v>
      </c>
    </row>
    <row r="47" spans="1:11" ht="21.6" hidden="1" customHeight="1" x14ac:dyDescent="0.3">
      <c r="A47" s="259"/>
      <c r="B47" s="1306" t="s">
        <v>561</v>
      </c>
      <c r="C47" s="1346"/>
      <c r="D47" s="436" t="s">
        <v>516</v>
      </c>
      <c r="E47" s="243"/>
      <c r="F47" s="243">
        <v>0.25</v>
      </c>
      <c r="G47" s="1357">
        <v>28</v>
      </c>
      <c r="H47" s="1358"/>
      <c r="I47" s="254">
        <f t="shared" si="1"/>
        <v>0</v>
      </c>
      <c r="J47" s="233">
        <v>86</v>
      </c>
      <c r="K47" s="233" t="s">
        <v>562</v>
      </c>
    </row>
    <row r="48" spans="1:11" ht="21" customHeight="1" x14ac:dyDescent="0.3">
      <c r="A48" s="259" t="s">
        <v>828</v>
      </c>
      <c r="B48" s="1278" t="s">
        <v>563</v>
      </c>
      <c r="C48" s="1359"/>
      <c r="D48" s="436" t="s">
        <v>542</v>
      </c>
      <c r="E48" s="256">
        <v>2</v>
      </c>
      <c r="F48" s="256">
        <v>1</v>
      </c>
      <c r="G48" s="1360">
        <v>0.72</v>
      </c>
      <c r="H48" s="1361"/>
      <c r="I48" s="254">
        <f>E48/1*F48*G48</f>
        <v>1.44</v>
      </c>
      <c r="J48" s="233">
        <v>87</v>
      </c>
      <c r="K48" s="233" t="s">
        <v>564</v>
      </c>
    </row>
    <row r="49" spans="1:11" hidden="1" x14ac:dyDescent="0.3">
      <c r="A49" s="440"/>
      <c r="B49" s="1349"/>
      <c r="C49" s="1350"/>
      <c r="D49" s="441"/>
      <c r="E49" s="442"/>
      <c r="F49" s="442"/>
      <c r="G49" s="1351"/>
      <c r="H49" s="1352"/>
      <c r="I49" s="443">
        <f t="shared" si="1"/>
        <v>0</v>
      </c>
      <c r="J49" s="444"/>
      <c r="K49" s="444"/>
    </row>
    <row r="50" spans="1:11" ht="27" hidden="1" customHeight="1" x14ac:dyDescent="0.3">
      <c r="A50" s="440" t="s">
        <v>537</v>
      </c>
      <c r="B50" s="1353" t="s">
        <v>565</v>
      </c>
      <c r="C50" s="1354"/>
      <c r="D50" s="441" t="s">
        <v>566</v>
      </c>
      <c r="E50" s="444"/>
      <c r="F50" s="445"/>
      <c r="G50" s="1355">
        <v>0.45</v>
      </c>
      <c r="H50" s="1356"/>
      <c r="I50" s="443">
        <f>E50*F50*G50</f>
        <v>0</v>
      </c>
      <c r="J50" s="444">
        <v>99</v>
      </c>
      <c r="K50" s="444" t="s">
        <v>567</v>
      </c>
    </row>
    <row r="51" spans="1:11" ht="28.2" hidden="1" customHeight="1" x14ac:dyDescent="0.3">
      <c r="A51" s="440" t="s">
        <v>540</v>
      </c>
      <c r="B51" s="1353" t="s">
        <v>568</v>
      </c>
      <c r="C51" s="1354"/>
      <c r="D51" s="441" t="s">
        <v>569</v>
      </c>
      <c r="E51" s="442"/>
      <c r="F51" s="445"/>
      <c r="G51" s="1355">
        <v>3.3</v>
      </c>
      <c r="H51" s="1356"/>
      <c r="I51" s="443">
        <f>E51/10*F51*G51</f>
        <v>0</v>
      </c>
      <c r="J51" s="444">
        <v>106</v>
      </c>
      <c r="K51" s="444" t="s">
        <v>570</v>
      </c>
    </row>
    <row r="52" spans="1:11" ht="34.200000000000003" hidden="1" customHeight="1" x14ac:dyDescent="0.3">
      <c r="A52" s="440"/>
      <c r="B52" s="1353" t="s">
        <v>571</v>
      </c>
      <c r="C52" s="1354"/>
      <c r="D52" s="441" t="s">
        <v>555</v>
      </c>
      <c r="E52" s="444"/>
      <c r="F52" s="445"/>
      <c r="G52" s="1355"/>
      <c r="H52" s="1356"/>
      <c r="I52" s="443">
        <f t="shared" ref="I52:I64" si="2">E52/100*F52*G52</f>
        <v>0</v>
      </c>
      <c r="J52" s="444"/>
      <c r="K52" s="444"/>
    </row>
    <row r="53" spans="1:11" ht="22.8" hidden="1" customHeight="1" x14ac:dyDescent="0.3">
      <c r="A53" s="440"/>
      <c r="B53" s="1353" t="s">
        <v>572</v>
      </c>
      <c r="C53" s="1354"/>
      <c r="D53" s="441" t="s">
        <v>555</v>
      </c>
      <c r="E53" s="444"/>
      <c r="F53" s="445"/>
      <c r="G53" s="1355"/>
      <c r="H53" s="1356"/>
      <c r="I53" s="443">
        <f t="shared" si="2"/>
        <v>0</v>
      </c>
      <c r="J53" s="444"/>
      <c r="K53" s="444"/>
    </row>
    <row r="54" spans="1:11" hidden="1" x14ac:dyDescent="0.3">
      <c r="A54" s="440"/>
      <c r="B54" s="1362" t="s">
        <v>573</v>
      </c>
      <c r="C54" s="1363"/>
      <c r="D54" s="1363"/>
      <c r="E54" s="1363"/>
      <c r="F54" s="1363"/>
      <c r="G54" s="1363"/>
      <c r="H54" s="1364"/>
      <c r="I54" s="443">
        <f t="shared" si="2"/>
        <v>0</v>
      </c>
      <c r="J54" s="444">
        <v>84</v>
      </c>
      <c r="K54" s="444"/>
    </row>
    <row r="55" spans="1:11" ht="25.2" hidden="1" customHeight="1" x14ac:dyDescent="0.3">
      <c r="A55" s="440"/>
      <c r="B55" s="1353" t="s">
        <v>574</v>
      </c>
      <c r="C55" s="1354"/>
      <c r="D55" s="441" t="s">
        <v>168</v>
      </c>
      <c r="E55" s="444"/>
      <c r="F55" s="445"/>
      <c r="G55" s="1355">
        <v>0.5</v>
      </c>
      <c r="H55" s="1356"/>
      <c r="I55" s="443">
        <f>E55*F55*G55</f>
        <v>0</v>
      </c>
      <c r="J55" s="444">
        <v>84</v>
      </c>
      <c r="K55" s="444" t="s">
        <v>575</v>
      </c>
    </row>
    <row r="56" spans="1:11" ht="13.2" hidden="1" customHeight="1" x14ac:dyDescent="0.3">
      <c r="A56" s="440"/>
      <c r="B56" s="1353" t="s">
        <v>576</v>
      </c>
      <c r="C56" s="1354"/>
      <c r="D56" s="441" t="s">
        <v>168</v>
      </c>
      <c r="E56" s="444"/>
      <c r="F56" s="445"/>
      <c r="G56" s="1355">
        <v>0.16</v>
      </c>
      <c r="H56" s="1356"/>
      <c r="I56" s="443">
        <f>E56*F56*G56</f>
        <v>0</v>
      </c>
      <c r="J56" s="444">
        <v>84</v>
      </c>
      <c r="K56" s="444" t="s">
        <v>577</v>
      </c>
    </row>
    <row r="57" spans="1:11" ht="23.4" hidden="1" customHeight="1" x14ac:dyDescent="0.3">
      <c r="A57" s="440" t="s">
        <v>556</v>
      </c>
      <c r="B57" s="1353" t="s">
        <v>578</v>
      </c>
      <c r="C57" s="1354"/>
      <c r="D57" s="441" t="s">
        <v>516</v>
      </c>
      <c r="E57" s="442"/>
      <c r="F57" s="445"/>
      <c r="G57" s="1355">
        <v>0.48</v>
      </c>
      <c r="H57" s="1356"/>
      <c r="I57" s="443">
        <f t="shared" si="2"/>
        <v>0</v>
      </c>
      <c r="J57" s="444">
        <v>81</v>
      </c>
      <c r="K57" s="444" t="s">
        <v>533</v>
      </c>
    </row>
    <row r="58" spans="1:11" ht="21" hidden="1" customHeight="1" x14ac:dyDescent="0.3">
      <c r="A58" s="440" t="s">
        <v>579</v>
      </c>
      <c r="B58" s="1353" t="s">
        <v>580</v>
      </c>
      <c r="C58" s="1354"/>
      <c r="D58" s="441" t="s">
        <v>516</v>
      </c>
      <c r="E58" s="442"/>
      <c r="F58" s="445"/>
      <c r="G58" s="1355">
        <v>1.73</v>
      </c>
      <c r="H58" s="1356"/>
      <c r="I58" s="443">
        <f>E58/100*F58*G58</f>
        <v>0</v>
      </c>
      <c r="J58" s="444">
        <v>81</v>
      </c>
      <c r="K58" s="444" t="s">
        <v>536</v>
      </c>
    </row>
    <row r="59" spans="1:11" ht="30.6" hidden="1" customHeight="1" x14ac:dyDescent="0.3">
      <c r="A59" s="440" t="s">
        <v>581</v>
      </c>
      <c r="B59" s="1353" t="s">
        <v>582</v>
      </c>
      <c r="C59" s="1354"/>
      <c r="D59" s="441" t="s">
        <v>583</v>
      </c>
      <c r="E59" s="445"/>
      <c r="F59" s="445"/>
      <c r="G59" s="1355">
        <v>0.3</v>
      </c>
      <c r="H59" s="1356"/>
      <c r="I59" s="443">
        <f>E59*F59*G59</f>
        <v>0</v>
      </c>
      <c r="J59" s="444">
        <v>85</v>
      </c>
      <c r="K59" s="444" t="s">
        <v>584</v>
      </c>
    </row>
    <row r="60" spans="1:11" ht="24" hidden="1" customHeight="1" x14ac:dyDescent="0.3">
      <c r="A60" s="440"/>
      <c r="B60" s="1353" t="s">
        <v>585</v>
      </c>
      <c r="C60" s="1354"/>
      <c r="D60" s="441" t="s">
        <v>555</v>
      </c>
      <c r="E60" s="444"/>
      <c r="F60" s="442"/>
      <c r="G60" s="1355"/>
      <c r="H60" s="1356"/>
      <c r="I60" s="443">
        <f t="shared" si="2"/>
        <v>0</v>
      </c>
      <c r="J60" s="444"/>
      <c r="K60" s="444"/>
    </row>
    <row r="61" spans="1:11" x14ac:dyDescent="0.3">
      <c r="A61" s="259" t="s">
        <v>556</v>
      </c>
      <c r="B61" s="1368" t="s">
        <v>586</v>
      </c>
      <c r="C61" s="1369"/>
      <c r="D61" s="436" t="s">
        <v>587</v>
      </c>
      <c r="E61" s="256">
        <v>2</v>
      </c>
      <c r="F61" s="256">
        <v>2</v>
      </c>
      <c r="G61" s="1334">
        <v>0.48</v>
      </c>
      <c r="H61" s="1334"/>
      <c r="I61" s="254">
        <f>E61*F61*G61</f>
        <v>1.92</v>
      </c>
      <c r="J61" s="233">
        <v>93</v>
      </c>
      <c r="K61" s="233" t="s">
        <v>588</v>
      </c>
    </row>
    <row r="62" spans="1:11" ht="40.200000000000003" hidden="1" customHeight="1" x14ac:dyDescent="0.3">
      <c r="A62" s="440"/>
      <c r="B62" s="1365" t="s">
        <v>589</v>
      </c>
      <c r="C62" s="1366"/>
      <c r="D62" s="441" t="s">
        <v>555</v>
      </c>
      <c r="E62" s="444"/>
      <c r="F62" s="445">
        <v>1</v>
      </c>
      <c r="G62" s="1367"/>
      <c r="H62" s="1367"/>
      <c r="I62" s="443">
        <f t="shared" si="2"/>
        <v>0</v>
      </c>
      <c r="J62" s="444"/>
      <c r="K62" s="444"/>
    </row>
    <row r="63" spans="1:11" ht="17.399999999999999" hidden="1" customHeight="1" x14ac:dyDescent="0.3">
      <c r="A63" s="440"/>
      <c r="B63" s="1365" t="s">
        <v>590</v>
      </c>
      <c r="C63" s="1366"/>
      <c r="D63" s="441" t="s">
        <v>555</v>
      </c>
      <c r="E63" s="444"/>
      <c r="F63" s="442">
        <v>0.25</v>
      </c>
      <c r="G63" s="1367"/>
      <c r="H63" s="1367"/>
      <c r="I63" s="443">
        <f t="shared" si="2"/>
        <v>0</v>
      </c>
      <c r="J63" s="444"/>
      <c r="K63" s="444"/>
    </row>
    <row r="64" spans="1:11" ht="27.6" hidden="1" customHeight="1" x14ac:dyDescent="0.3">
      <c r="A64" s="440"/>
      <c r="B64" s="1365" t="s">
        <v>591</v>
      </c>
      <c r="C64" s="1366"/>
      <c r="D64" s="441" t="s">
        <v>555</v>
      </c>
      <c r="E64" s="444"/>
      <c r="F64" s="445"/>
      <c r="G64" s="1367"/>
      <c r="H64" s="1367"/>
      <c r="I64" s="443">
        <f t="shared" si="2"/>
        <v>0</v>
      </c>
      <c r="J64" s="444"/>
      <c r="K64" s="444"/>
    </row>
    <row r="65" spans="1:11" hidden="1" x14ac:dyDescent="0.3">
      <c r="A65" s="446" t="s">
        <v>592</v>
      </c>
      <c r="B65" s="1362" t="s">
        <v>593</v>
      </c>
      <c r="C65" s="1370"/>
      <c r="D65" s="1370"/>
      <c r="E65" s="1370"/>
      <c r="F65" s="1370"/>
      <c r="G65" s="1370"/>
      <c r="H65" s="1371"/>
      <c r="I65" s="447"/>
      <c r="J65" s="448"/>
      <c r="K65" s="448"/>
    </row>
    <row r="66" spans="1:11" hidden="1" x14ac:dyDescent="0.3">
      <c r="A66" s="440" t="s">
        <v>594</v>
      </c>
      <c r="B66" s="1362" t="s">
        <v>595</v>
      </c>
      <c r="C66" s="1372"/>
      <c r="D66" s="1373"/>
      <c r="E66" s="1373"/>
      <c r="F66" s="1373"/>
      <c r="G66" s="1373"/>
      <c r="H66" s="1374"/>
      <c r="I66" s="443"/>
      <c r="J66" s="444"/>
      <c r="K66" s="444"/>
    </row>
    <row r="67" spans="1:11" ht="25.8" hidden="1" customHeight="1" x14ac:dyDescent="0.3">
      <c r="A67" s="440"/>
      <c r="B67" s="1365" t="s">
        <v>538</v>
      </c>
      <c r="C67" s="1366"/>
      <c r="D67" s="441" t="s">
        <v>516</v>
      </c>
      <c r="E67" s="442">
        <f>[1]Таблица_Характеристика!M87</f>
        <v>0</v>
      </c>
      <c r="F67" s="445"/>
      <c r="G67" s="1367">
        <v>2.2000000000000002</v>
      </c>
      <c r="H67" s="1367"/>
      <c r="I67" s="443">
        <f>E67/100*F67*G67</f>
        <v>0</v>
      </c>
      <c r="J67" s="444">
        <v>82</v>
      </c>
      <c r="K67" s="444" t="s">
        <v>539</v>
      </c>
    </row>
    <row r="68" spans="1:11" ht="22.2" hidden="1" customHeight="1" x14ac:dyDescent="0.3">
      <c r="A68" s="440"/>
      <c r="B68" s="1365" t="s">
        <v>541</v>
      </c>
      <c r="C68" s="1366"/>
      <c r="D68" s="441" t="s">
        <v>168</v>
      </c>
      <c r="E68" s="442"/>
      <c r="F68" s="445">
        <v>2</v>
      </c>
      <c r="G68" s="1367">
        <v>1.5</v>
      </c>
      <c r="H68" s="1367"/>
      <c r="I68" s="443"/>
      <c r="J68" s="444"/>
      <c r="K68" s="444"/>
    </row>
    <row r="69" spans="1:11" hidden="1" x14ac:dyDescent="0.3">
      <c r="A69" s="440"/>
      <c r="B69" s="1365" t="s">
        <v>596</v>
      </c>
      <c r="C69" s="1366"/>
      <c r="D69" s="441" t="s">
        <v>555</v>
      </c>
      <c r="E69" s="444"/>
      <c r="F69" s="445">
        <v>2</v>
      </c>
      <c r="G69" s="1367"/>
      <c r="H69" s="1367"/>
      <c r="I69" s="443">
        <f>E69/100*F69*G69</f>
        <v>0</v>
      </c>
      <c r="J69" s="444"/>
      <c r="K69" s="444"/>
    </row>
    <row r="70" spans="1:11" x14ac:dyDescent="0.3">
      <c r="A70" s="259" t="s">
        <v>579</v>
      </c>
      <c r="B70" s="1303" t="s">
        <v>597</v>
      </c>
      <c r="C70" s="1340"/>
      <c r="D70" s="1341"/>
      <c r="E70" s="1341"/>
      <c r="F70" s="1341"/>
      <c r="G70" s="1341"/>
      <c r="H70" s="1342"/>
      <c r="I70" s="254"/>
      <c r="J70" s="233"/>
      <c r="K70" s="233"/>
    </row>
    <row r="71" spans="1:11" ht="18" customHeight="1" x14ac:dyDescent="0.3">
      <c r="A71" s="259"/>
      <c r="B71" s="1276" t="s">
        <v>598</v>
      </c>
      <c r="C71" s="1333"/>
      <c r="D71" s="436" t="s">
        <v>566</v>
      </c>
      <c r="E71" s="256">
        <v>5</v>
      </c>
      <c r="F71" s="256">
        <v>1</v>
      </c>
      <c r="G71" s="1334">
        <v>1.4</v>
      </c>
      <c r="H71" s="1334"/>
      <c r="I71" s="254">
        <f>F71*G71*E71</f>
        <v>7</v>
      </c>
      <c r="J71" s="233">
        <v>91</v>
      </c>
      <c r="K71" s="233" t="s">
        <v>599</v>
      </c>
    </row>
    <row r="72" spans="1:11" ht="19.2" hidden="1" customHeight="1" x14ac:dyDescent="0.3">
      <c r="A72" s="259"/>
      <c r="B72" s="1276" t="s">
        <v>600</v>
      </c>
      <c r="C72" s="1333"/>
      <c r="D72" s="436" t="s">
        <v>566</v>
      </c>
      <c r="E72" s="256"/>
      <c r="F72" s="256">
        <v>2</v>
      </c>
      <c r="G72" s="1334">
        <v>1.8</v>
      </c>
      <c r="H72" s="1334"/>
      <c r="I72" s="254">
        <f>F72*G72*E72</f>
        <v>0</v>
      </c>
      <c r="J72" s="233">
        <v>91</v>
      </c>
      <c r="K72" s="233" t="s">
        <v>601</v>
      </c>
    </row>
    <row r="73" spans="1:11" ht="19.8" customHeight="1" x14ac:dyDescent="0.3">
      <c r="A73" s="259"/>
      <c r="B73" s="1375" t="s">
        <v>602</v>
      </c>
      <c r="C73" s="1376"/>
      <c r="D73" s="436" t="s">
        <v>603</v>
      </c>
      <c r="E73" s="256">
        <v>1</v>
      </c>
      <c r="F73" s="256">
        <v>5</v>
      </c>
      <c r="G73" s="1334">
        <v>0.2</v>
      </c>
      <c r="H73" s="1334"/>
      <c r="I73" s="254">
        <f>F73*G73*E73</f>
        <v>1</v>
      </c>
      <c r="J73" s="233">
        <v>91</v>
      </c>
      <c r="K73" s="233" t="s">
        <v>604</v>
      </c>
    </row>
    <row r="74" spans="1:11" ht="24" hidden="1" customHeight="1" x14ac:dyDescent="0.3">
      <c r="A74" s="440"/>
      <c r="B74" s="1365" t="s">
        <v>605</v>
      </c>
      <c r="C74" s="1366"/>
      <c r="D74" s="441" t="s">
        <v>555</v>
      </c>
      <c r="E74" s="444"/>
      <c r="F74" s="442">
        <v>0.25</v>
      </c>
      <c r="G74" s="1367"/>
      <c r="H74" s="1367"/>
      <c r="I74" s="443">
        <f>E74/100*F74*G74</f>
        <v>0</v>
      </c>
      <c r="J74" s="444"/>
      <c r="K74" s="444"/>
    </row>
    <row r="75" spans="1:11" ht="25.8" hidden="1" customHeight="1" x14ac:dyDescent="0.3">
      <c r="A75" s="440"/>
      <c r="B75" s="1365" t="s">
        <v>606</v>
      </c>
      <c r="C75" s="1366"/>
      <c r="D75" s="441" t="s">
        <v>566</v>
      </c>
      <c r="E75" s="444"/>
      <c r="F75" s="445">
        <v>2</v>
      </c>
      <c r="G75" s="1367"/>
      <c r="H75" s="1367"/>
      <c r="I75" s="443">
        <f>E75/100*F75*G75</f>
        <v>0</v>
      </c>
      <c r="J75" s="444">
        <v>99</v>
      </c>
      <c r="K75" s="444" t="s">
        <v>607</v>
      </c>
    </row>
    <row r="76" spans="1:11" ht="21.6" customHeight="1" x14ac:dyDescent="0.3">
      <c r="A76" s="259" t="s">
        <v>581</v>
      </c>
      <c r="B76" s="1278" t="s">
        <v>609</v>
      </c>
      <c r="C76" s="1359"/>
      <c r="D76" s="436" t="s">
        <v>566</v>
      </c>
      <c r="E76" s="233">
        <v>4</v>
      </c>
      <c r="F76" s="256">
        <v>1</v>
      </c>
      <c r="G76" s="1347">
        <v>0.35</v>
      </c>
      <c r="H76" s="1348"/>
      <c r="I76" s="254">
        <f t="shared" ref="I76:I80" si="3">E76*F76*G76</f>
        <v>1.4</v>
      </c>
      <c r="J76" s="233">
        <v>94</v>
      </c>
      <c r="K76" s="233" t="s">
        <v>610</v>
      </c>
    </row>
    <row r="77" spans="1:11" ht="25.8" customHeight="1" x14ac:dyDescent="0.3">
      <c r="A77" s="259" t="s">
        <v>829</v>
      </c>
      <c r="B77" s="1278" t="s">
        <v>612</v>
      </c>
      <c r="C77" s="1359"/>
      <c r="D77" s="436" t="s">
        <v>566</v>
      </c>
      <c r="E77" s="233">
        <v>5</v>
      </c>
      <c r="F77" s="256">
        <v>1</v>
      </c>
      <c r="G77" s="1347">
        <v>0.46</v>
      </c>
      <c r="H77" s="1348"/>
      <c r="I77" s="254">
        <f t="shared" si="3"/>
        <v>2.3000000000000003</v>
      </c>
      <c r="J77" s="233">
        <v>96</v>
      </c>
      <c r="K77" s="233" t="s">
        <v>613</v>
      </c>
    </row>
    <row r="78" spans="1:11" ht="22.8" customHeight="1" x14ac:dyDescent="0.3">
      <c r="A78" s="259"/>
      <c r="B78" s="1278" t="s">
        <v>614</v>
      </c>
      <c r="C78" s="1359"/>
      <c r="D78" s="436" t="s">
        <v>566</v>
      </c>
      <c r="E78" s="233">
        <v>5</v>
      </c>
      <c r="F78" s="256">
        <v>1</v>
      </c>
      <c r="G78" s="1347">
        <v>0.57999999999999996</v>
      </c>
      <c r="H78" s="1348"/>
      <c r="I78" s="254">
        <f t="shared" si="3"/>
        <v>2.9</v>
      </c>
      <c r="J78" s="233">
        <v>96</v>
      </c>
      <c r="K78" s="233" t="s">
        <v>615</v>
      </c>
    </row>
    <row r="79" spans="1:11" ht="27" customHeight="1" x14ac:dyDescent="0.3">
      <c r="A79" s="259" t="s">
        <v>608</v>
      </c>
      <c r="B79" s="1276" t="s">
        <v>606</v>
      </c>
      <c r="C79" s="1333"/>
      <c r="D79" s="436" t="s">
        <v>566</v>
      </c>
      <c r="E79" s="256">
        <v>4</v>
      </c>
      <c r="F79" s="256">
        <v>1</v>
      </c>
      <c r="G79" s="1334">
        <v>0.35</v>
      </c>
      <c r="H79" s="1334"/>
      <c r="I79" s="254">
        <f t="shared" si="3"/>
        <v>1.4</v>
      </c>
      <c r="J79" s="233">
        <v>99</v>
      </c>
      <c r="K79" s="233" t="s">
        <v>607</v>
      </c>
    </row>
    <row r="80" spans="1:11" x14ac:dyDescent="0.3">
      <c r="A80" s="259" t="s">
        <v>611</v>
      </c>
      <c r="B80" s="1379" t="s">
        <v>616</v>
      </c>
      <c r="C80" s="1379"/>
      <c r="D80" s="436" t="s">
        <v>566</v>
      </c>
      <c r="E80" s="233">
        <v>2</v>
      </c>
      <c r="F80" s="256">
        <v>1</v>
      </c>
      <c r="G80" s="1334">
        <v>0.6</v>
      </c>
      <c r="H80" s="1334"/>
      <c r="I80" s="254">
        <f t="shared" si="3"/>
        <v>1.2</v>
      </c>
      <c r="J80" s="233">
        <v>101</v>
      </c>
      <c r="K80" s="233" t="s">
        <v>617</v>
      </c>
    </row>
    <row r="81" spans="1:11" hidden="1" x14ac:dyDescent="0.3">
      <c r="A81" s="259" t="s">
        <v>244</v>
      </c>
      <c r="B81" s="1303" t="s">
        <v>618</v>
      </c>
      <c r="C81" s="1340"/>
      <c r="D81" s="1341"/>
      <c r="E81" s="1341"/>
      <c r="F81" s="1341"/>
      <c r="G81" s="1341"/>
      <c r="H81" s="1342"/>
      <c r="I81" s="254"/>
      <c r="J81" s="233"/>
      <c r="K81" s="233"/>
    </row>
    <row r="82" spans="1:11" ht="25.2" hidden="1" customHeight="1" x14ac:dyDescent="0.3">
      <c r="A82" s="259"/>
      <c r="B82" s="1276" t="s">
        <v>619</v>
      </c>
      <c r="C82" s="1333"/>
      <c r="D82" s="436" t="s">
        <v>566</v>
      </c>
      <c r="E82" s="233"/>
      <c r="F82" s="243">
        <v>0.25</v>
      </c>
      <c r="G82" s="1377">
        <v>4</v>
      </c>
      <c r="H82" s="1378"/>
      <c r="I82" s="254">
        <f>E82*F82*G82</f>
        <v>0</v>
      </c>
      <c r="J82" s="233"/>
      <c r="K82" s="233"/>
    </row>
    <row r="83" spans="1:11" x14ac:dyDescent="0.3">
      <c r="A83" s="449"/>
      <c r="B83" s="1380" t="s">
        <v>620</v>
      </c>
      <c r="C83" s="1381"/>
      <c r="D83" s="450"/>
      <c r="E83" s="451"/>
      <c r="F83" s="201"/>
      <c r="G83" s="1171"/>
      <c r="H83" s="1382"/>
      <c r="I83" s="205">
        <f>SUM(I28:I82)</f>
        <v>155.62400000000002</v>
      </c>
      <c r="J83" s="201"/>
      <c r="K83" s="201"/>
    </row>
    <row r="84" spans="1:11" x14ac:dyDescent="0.3">
      <c r="A84" s="1310" t="s">
        <v>832</v>
      </c>
      <c r="B84" s="1310"/>
      <c r="C84" s="1310"/>
      <c r="D84" s="1310"/>
      <c r="E84" s="1310"/>
      <c r="F84" s="1310"/>
      <c r="G84" s="1310"/>
      <c r="H84" s="1310"/>
      <c r="I84" s="1310"/>
      <c r="J84" s="1310"/>
      <c r="K84" s="1310"/>
    </row>
    <row r="85" spans="1:11" ht="104.4" customHeight="1" x14ac:dyDescent="0.3">
      <c r="A85" s="194" t="s">
        <v>230</v>
      </c>
      <c r="B85" s="1312" t="s">
        <v>231</v>
      </c>
      <c r="C85" s="770"/>
      <c r="D85" s="614" t="s">
        <v>330</v>
      </c>
      <c r="E85" s="194" t="s">
        <v>510</v>
      </c>
      <c r="F85" s="195" t="s">
        <v>511</v>
      </c>
      <c r="G85" s="195" t="s">
        <v>849</v>
      </c>
      <c r="H85" s="197" t="s">
        <v>513</v>
      </c>
      <c r="I85" s="197" t="s">
        <v>848</v>
      </c>
      <c r="J85" s="197" t="s">
        <v>237</v>
      </c>
      <c r="K85" s="240"/>
    </row>
    <row r="86" spans="1:11" ht="14.4" customHeight="1" x14ac:dyDescent="0.3">
      <c r="A86" s="231">
        <v>1</v>
      </c>
      <c r="B86" s="1311">
        <v>2</v>
      </c>
      <c r="C86" s="770"/>
      <c r="D86" s="611">
        <v>3</v>
      </c>
      <c r="E86" s="233">
        <v>4</v>
      </c>
      <c r="F86" s="233">
        <v>5</v>
      </c>
      <c r="G86" s="615">
        <v>6</v>
      </c>
      <c r="H86" s="233">
        <v>7</v>
      </c>
      <c r="I86" s="233">
        <v>8</v>
      </c>
      <c r="J86" s="541">
        <v>9</v>
      </c>
      <c r="K86" s="240"/>
    </row>
    <row r="87" spans="1:11" ht="14.4" customHeight="1" x14ac:dyDescent="0.3">
      <c r="A87" s="231">
        <v>1</v>
      </c>
      <c r="B87" s="1313" t="s">
        <v>833</v>
      </c>
      <c r="C87" s="770"/>
      <c r="D87" s="770"/>
      <c r="E87" s="770"/>
      <c r="F87" s="770"/>
      <c r="G87" s="770"/>
      <c r="H87" s="435"/>
      <c r="I87" s="435"/>
      <c r="J87" s="435"/>
      <c r="K87" s="240"/>
    </row>
    <row r="88" spans="1:11" ht="14.4" customHeight="1" x14ac:dyDescent="0.3">
      <c r="A88" s="259" t="s">
        <v>228</v>
      </c>
      <c r="B88" s="1276" t="s">
        <v>834</v>
      </c>
      <c r="C88" s="770"/>
      <c r="D88" s="436" t="s">
        <v>835</v>
      </c>
      <c r="E88" s="256">
        <v>1</v>
      </c>
      <c r="F88" s="256">
        <v>2</v>
      </c>
      <c r="G88" s="257">
        <v>0.13</v>
      </c>
      <c r="H88" s="254">
        <f>E88*F88*G88</f>
        <v>0.26</v>
      </c>
      <c r="I88" s="233">
        <v>120</v>
      </c>
      <c r="J88" s="541" t="s">
        <v>836</v>
      </c>
      <c r="K88" s="240"/>
    </row>
    <row r="89" spans="1:11" ht="14.4" hidden="1" customHeight="1" x14ac:dyDescent="0.3">
      <c r="A89" s="259" t="s">
        <v>518</v>
      </c>
      <c r="B89" s="1276" t="s">
        <v>837</v>
      </c>
      <c r="C89" s="770"/>
      <c r="D89" s="436" t="s">
        <v>838</v>
      </c>
      <c r="E89" s="243"/>
      <c r="F89" s="256">
        <v>2</v>
      </c>
      <c r="G89" s="257">
        <v>0.1</v>
      </c>
      <c r="H89" s="254">
        <f>E89/10*F89*G89</f>
        <v>0</v>
      </c>
      <c r="I89" s="233">
        <v>120</v>
      </c>
      <c r="J89" s="541" t="s">
        <v>839</v>
      </c>
      <c r="K89" s="240"/>
    </row>
    <row r="90" spans="1:11" ht="14.4" customHeight="1" x14ac:dyDescent="0.3">
      <c r="A90" s="259" t="s">
        <v>778</v>
      </c>
      <c r="B90" s="1276" t="s">
        <v>840</v>
      </c>
      <c r="C90" s="770"/>
      <c r="D90" s="436" t="s">
        <v>841</v>
      </c>
      <c r="E90" s="256">
        <v>20</v>
      </c>
      <c r="F90" s="256">
        <v>4</v>
      </c>
      <c r="G90" s="257">
        <v>0.05</v>
      </c>
      <c r="H90" s="254">
        <f>E90*F90*G90</f>
        <v>4</v>
      </c>
      <c r="I90" s="233">
        <v>120</v>
      </c>
      <c r="J90" s="541" t="s">
        <v>842</v>
      </c>
      <c r="K90" s="240"/>
    </row>
    <row r="91" spans="1:11" x14ac:dyDescent="0.3">
      <c r="A91" s="259" t="s">
        <v>786</v>
      </c>
      <c r="B91" s="1276" t="s">
        <v>843</v>
      </c>
      <c r="C91" s="770"/>
      <c r="D91" s="436" t="s">
        <v>835</v>
      </c>
      <c r="E91" s="256">
        <v>20</v>
      </c>
      <c r="F91" s="256">
        <v>4</v>
      </c>
      <c r="G91" s="257">
        <v>0.1</v>
      </c>
      <c r="H91" s="254">
        <f>E91*F91*G91</f>
        <v>8</v>
      </c>
      <c r="I91" s="233">
        <v>120</v>
      </c>
      <c r="J91" s="541" t="s">
        <v>844</v>
      </c>
      <c r="K91" s="240"/>
    </row>
    <row r="92" spans="1:11" x14ac:dyDescent="0.3">
      <c r="A92" s="259" t="s">
        <v>794</v>
      </c>
      <c r="B92" s="1276" t="s">
        <v>845</v>
      </c>
      <c r="C92" s="770"/>
      <c r="D92" s="436" t="s">
        <v>846</v>
      </c>
      <c r="E92" s="256">
        <v>1</v>
      </c>
      <c r="F92" s="256">
        <v>2</v>
      </c>
      <c r="G92" s="257">
        <v>0.3</v>
      </c>
      <c r="H92" s="254">
        <f>E92*F92*G92</f>
        <v>0.6</v>
      </c>
      <c r="I92" s="233">
        <v>120</v>
      </c>
      <c r="J92" s="541" t="s">
        <v>847</v>
      </c>
      <c r="K92" s="240"/>
    </row>
    <row r="93" spans="1:11" x14ac:dyDescent="0.3">
      <c r="A93" s="259" t="s">
        <v>527</v>
      </c>
      <c r="B93" s="1297" t="s">
        <v>850</v>
      </c>
      <c r="C93" s="1298"/>
      <c r="D93" s="1298"/>
      <c r="E93" s="1298"/>
      <c r="F93" s="1298"/>
      <c r="G93" s="1299"/>
      <c r="H93" s="254"/>
      <c r="I93" s="233"/>
      <c r="J93" s="541"/>
      <c r="K93" s="240"/>
    </row>
    <row r="94" spans="1:11" hidden="1" x14ac:dyDescent="0.3">
      <c r="A94" s="259" t="s">
        <v>529</v>
      </c>
      <c r="B94" s="1276" t="s">
        <v>851</v>
      </c>
      <c r="C94" s="770"/>
      <c r="D94" s="436" t="s">
        <v>852</v>
      </c>
      <c r="E94" s="256">
        <f>[2]Таблица_Характеристика!J135*0</f>
        <v>0</v>
      </c>
      <c r="F94" s="256">
        <v>2</v>
      </c>
      <c r="G94" s="257">
        <v>0.08</v>
      </c>
      <c r="H94" s="254">
        <f>E94*F94*G94</f>
        <v>0</v>
      </c>
      <c r="I94" s="233">
        <v>121</v>
      </c>
      <c r="J94" s="541" t="s">
        <v>853</v>
      </c>
      <c r="K94" s="240"/>
    </row>
    <row r="95" spans="1:11" hidden="1" x14ac:dyDescent="0.3">
      <c r="A95" s="259" t="s">
        <v>534</v>
      </c>
      <c r="B95" s="1276" t="s">
        <v>854</v>
      </c>
      <c r="C95" s="770"/>
      <c r="D95" s="436" t="s">
        <v>569</v>
      </c>
      <c r="E95" s="256">
        <f>[2]Таблица_Характеристика!L140*0</f>
        <v>0</v>
      </c>
      <c r="F95" s="256">
        <v>2</v>
      </c>
      <c r="G95" s="257">
        <v>0.2</v>
      </c>
      <c r="H95" s="254">
        <f>E95/10*F95*G95</f>
        <v>0</v>
      </c>
      <c r="I95" s="233">
        <v>121</v>
      </c>
      <c r="J95" s="541" t="s">
        <v>855</v>
      </c>
      <c r="K95" s="240"/>
    </row>
    <row r="96" spans="1:11" ht="32.4" customHeight="1" x14ac:dyDescent="0.3">
      <c r="A96" s="259" t="s">
        <v>531</v>
      </c>
      <c r="B96" s="1276" t="s">
        <v>856</v>
      </c>
      <c r="C96" s="770"/>
      <c r="D96" s="436" t="s">
        <v>857</v>
      </c>
      <c r="E96" s="256">
        <v>9</v>
      </c>
      <c r="F96" s="256">
        <v>1</v>
      </c>
      <c r="G96" s="257">
        <v>0.2</v>
      </c>
      <c r="H96" s="254">
        <f>E96*F96*G96</f>
        <v>1.8</v>
      </c>
      <c r="I96" s="233">
        <v>121</v>
      </c>
      <c r="J96" s="233" t="s">
        <v>858</v>
      </c>
      <c r="K96" s="240"/>
    </row>
    <row r="97" spans="1:11" ht="41.4" customHeight="1" x14ac:dyDescent="0.3">
      <c r="A97" s="259" t="s">
        <v>859</v>
      </c>
      <c r="B97" s="1276" t="s">
        <v>860</v>
      </c>
      <c r="C97" s="770"/>
      <c r="D97" s="436" t="s">
        <v>857</v>
      </c>
      <c r="E97" s="256">
        <v>6</v>
      </c>
      <c r="F97" s="256">
        <v>1</v>
      </c>
      <c r="G97" s="257">
        <v>0.25</v>
      </c>
      <c r="H97" s="254">
        <f>E97*F97*G97</f>
        <v>1.5</v>
      </c>
      <c r="I97" s="233">
        <v>121</v>
      </c>
      <c r="J97" s="233" t="s">
        <v>861</v>
      </c>
      <c r="K97" s="240"/>
    </row>
    <row r="98" spans="1:11" x14ac:dyDescent="0.3">
      <c r="A98" s="259" t="s">
        <v>244</v>
      </c>
      <c r="B98" s="1297" t="s">
        <v>862</v>
      </c>
      <c r="C98" s="1298"/>
      <c r="D98" s="1298"/>
      <c r="E98" s="1298"/>
      <c r="F98" s="1298"/>
      <c r="G98" s="1299"/>
      <c r="H98" s="254"/>
      <c r="I98" s="233"/>
      <c r="J98" s="541"/>
      <c r="K98" s="240"/>
    </row>
    <row r="99" spans="1:11" x14ac:dyDescent="0.3">
      <c r="A99" s="259" t="s">
        <v>863</v>
      </c>
      <c r="B99" s="1276" t="s">
        <v>895</v>
      </c>
      <c r="C99" s="770"/>
      <c r="D99" s="436" t="s">
        <v>846</v>
      </c>
      <c r="E99" s="256">
        <v>30</v>
      </c>
      <c r="F99" s="616">
        <v>0.5</v>
      </c>
      <c r="G99" s="257">
        <v>0.1</v>
      </c>
      <c r="H99" s="254">
        <f>E99*F99*G99</f>
        <v>1.5</v>
      </c>
      <c r="I99" s="233">
        <v>122</v>
      </c>
      <c r="J99" s="541" t="s">
        <v>864</v>
      </c>
      <c r="K99" s="240"/>
    </row>
    <row r="100" spans="1:11" hidden="1" x14ac:dyDescent="0.3">
      <c r="A100" s="259" t="s">
        <v>865</v>
      </c>
      <c r="B100" s="1276" t="s">
        <v>866</v>
      </c>
      <c r="C100" s="770"/>
      <c r="D100" s="436" t="s">
        <v>846</v>
      </c>
      <c r="E100" s="256"/>
      <c r="F100" s="256">
        <v>1</v>
      </c>
      <c r="G100" s="257">
        <v>0.2</v>
      </c>
      <c r="H100" s="254">
        <f>E100*F100*G100</f>
        <v>0</v>
      </c>
      <c r="I100" s="233">
        <v>122</v>
      </c>
      <c r="J100" s="541" t="s">
        <v>867</v>
      </c>
      <c r="K100" s="240"/>
    </row>
    <row r="101" spans="1:11" x14ac:dyDescent="0.3">
      <c r="A101" s="259" t="s">
        <v>245</v>
      </c>
      <c r="B101" s="1300" t="s">
        <v>868</v>
      </c>
      <c r="C101" s="1301"/>
      <c r="D101" s="1301"/>
      <c r="E101" s="1301"/>
      <c r="F101" s="1301"/>
      <c r="G101" s="1302"/>
      <c r="H101" s="254"/>
      <c r="I101" s="233"/>
      <c r="J101" s="541"/>
      <c r="K101" s="240"/>
    </row>
    <row r="102" spans="1:11" x14ac:dyDescent="0.3">
      <c r="A102" s="259" t="s">
        <v>700</v>
      </c>
      <c r="B102" s="1276" t="s">
        <v>869</v>
      </c>
      <c r="C102" s="770"/>
      <c r="D102" s="436" t="s">
        <v>870</v>
      </c>
      <c r="E102" s="256">
        <v>2</v>
      </c>
      <c r="F102" s="256">
        <v>1</v>
      </c>
      <c r="G102" s="257">
        <v>2.6</v>
      </c>
      <c r="H102" s="254">
        <f>E102/10*F102*G102</f>
        <v>0.52</v>
      </c>
      <c r="I102" s="233">
        <v>123</v>
      </c>
      <c r="J102" s="541" t="s">
        <v>871</v>
      </c>
      <c r="K102" s="240"/>
    </row>
    <row r="103" spans="1:11" x14ac:dyDescent="0.3">
      <c r="A103" s="259" t="s">
        <v>702</v>
      </c>
      <c r="B103" s="1276" t="s">
        <v>872</v>
      </c>
      <c r="C103" s="770"/>
      <c r="D103" s="436" t="s">
        <v>870</v>
      </c>
      <c r="E103" s="256">
        <v>2</v>
      </c>
      <c r="F103" s="256">
        <v>1</v>
      </c>
      <c r="G103" s="257">
        <v>2.9</v>
      </c>
      <c r="H103" s="254">
        <f>E103/10*F103*G103</f>
        <v>0.57999999999999996</v>
      </c>
      <c r="I103" s="233">
        <v>123</v>
      </c>
      <c r="J103" s="541" t="s">
        <v>873</v>
      </c>
      <c r="K103" s="240"/>
    </row>
    <row r="104" spans="1:11" x14ac:dyDescent="0.3">
      <c r="A104" s="200" t="s">
        <v>260</v>
      </c>
      <c r="B104" s="1303" t="s">
        <v>874</v>
      </c>
      <c r="C104" s="1304"/>
      <c r="D104" s="1304"/>
      <c r="E104" s="1304"/>
      <c r="F104" s="1304"/>
      <c r="G104" s="1305"/>
      <c r="H104" s="624"/>
      <c r="I104" s="199"/>
      <c r="J104" s="625"/>
      <c r="K104" s="240"/>
    </row>
    <row r="105" spans="1:11" x14ac:dyDescent="0.3">
      <c r="A105" s="259" t="s">
        <v>875</v>
      </c>
      <c r="B105" s="1306" t="s">
        <v>876</v>
      </c>
      <c r="C105" s="1307"/>
      <c r="D105" s="436" t="s">
        <v>846</v>
      </c>
      <c r="E105" s="256">
        <v>8</v>
      </c>
      <c r="F105" s="256">
        <v>1</v>
      </c>
      <c r="G105" s="257">
        <v>0.25</v>
      </c>
      <c r="H105" s="254">
        <f>E105*F105*G105</f>
        <v>2</v>
      </c>
      <c r="I105" s="233">
        <v>124</v>
      </c>
      <c r="J105" s="541" t="s">
        <v>877</v>
      </c>
      <c r="K105" s="240"/>
    </row>
    <row r="106" spans="1:11" x14ac:dyDescent="0.3">
      <c r="A106" s="259" t="s">
        <v>878</v>
      </c>
      <c r="B106" s="1306" t="s">
        <v>879</v>
      </c>
      <c r="C106" s="1307"/>
      <c r="D106" s="436" t="s">
        <v>846</v>
      </c>
      <c r="E106" s="256">
        <v>4</v>
      </c>
      <c r="F106" s="256">
        <v>1</v>
      </c>
      <c r="G106" s="257">
        <v>0.55000000000000004</v>
      </c>
      <c r="H106" s="254">
        <f>E106*F106*G106</f>
        <v>2.2000000000000002</v>
      </c>
      <c r="I106" s="233">
        <v>124</v>
      </c>
      <c r="J106" s="541" t="s">
        <v>880</v>
      </c>
      <c r="K106" s="240"/>
    </row>
    <row r="107" spans="1:11" x14ac:dyDescent="0.3">
      <c r="A107" s="259" t="s">
        <v>263</v>
      </c>
      <c r="B107" s="1297" t="s">
        <v>881</v>
      </c>
      <c r="C107" s="1298"/>
      <c r="D107" s="1298"/>
      <c r="E107" s="1298"/>
      <c r="F107" s="1298"/>
      <c r="G107" s="1299"/>
      <c r="H107" s="254"/>
      <c r="I107" s="233"/>
      <c r="J107" s="541"/>
      <c r="K107" s="240"/>
    </row>
    <row r="108" spans="1:11" x14ac:dyDescent="0.3">
      <c r="A108" s="626" t="s">
        <v>882</v>
      </c>
      <c r="B108" s="1276" t="s">
        <v>883</v>
      </c>
      <c r="C108" s="1277"/>
      <c r="D108" s="612" t="s">
        <v>870</v>
      </c>
      <c r="E108" s="627">
        <v>1</v>
      </c>
      <c r="F108" s="627">
        <v>1</v>
      </c>
      <c r="G108" s="204">
        <v>0.75</v>
      </c>
      <c r="H108" s="254">
        <f>E108/10*F108*G108</f>
        <v>7.5000000000000011E-2</v>
      </c>
      <c r="I108" s="233">
        <v>125</v>
      </c>
      <c r="J108" s="541" t="s">
        <v>884</v>
      </c>
      <c r="K108" s="240"/>
    </row>
    <row r="109" spans="1:11" x14ac:dyDescent="0.3">
      <c r="A109" s="626" t="s">
        <v>885</v>
      </c>
      <c r="B109" s="1276" t="s">
        <v>886</v>
      </c>
      <c r="C109" s="1277"/>
      <c r="D109" s="612" t="s">
        <v>870</v>
      </c>
      <c r="E109" s="627">
        <v>6</v>
      </c>
      <c r="F109" s="627">
        <v>1</v>
      </c>
      <c r="G109" s="204">
        <v>10.6</v>
      </c>
      <c r="H109" s="254">
        <f>E109/10*F109*G109</f>
        <v>6.3599999999999994</v>
      </c>
      <c r="I109" s="233">
        <v>125</v>
      </c>
      <c r="J109" s="541" t="s">
        <v>887</v>
      </c>
      <c r="K109" s="240"/>
    </row>
    <row r="110" spans="1:11" x14ac:dyDescent="0.3">
      <c r="A110" s="626" t="s">
        <v>888</v>
      </c>
      <c r="B110" s="1276" t="s">
        <v>889</v>
      </c>
      <c r="C110" s="1277"/>
      <c r="D110" s="612" t="s">
        <v>870</v>
      </c>
      <c r="E110" s="627">
        <v>0</v>
      </c>
      <c r="F110" s="627">
        <v>1</v>
      </c>
      <c r="G110" s="204">
        <v>3.1</v>
      </c>
      <c r="H110" s="254">
        <f>E110/10*F110*G110</f>
        <v>0</v>
      </c>
      <c r="I110" s="233">
        <v>125</v>
      </c>
      <c r="J110" s="541" t="s">
        <v>890</v>
      </c>
      <c r="K110" s="240"/>
    </row>
    <row r="111" spans="1:11" x14ac:dyDescent="0.3">
      <c r="A111" s="626" t="s">
        <v>891</v>
      </c>
      <c r="B111" s="1278" t="s">
        <v>892</v>
      </c>
      <c r="C111" s="1279"/>
      <c r="D111" s="628" t="s">
        <v>893</v>
      </c>
      <c r="E111" s="549">
        <v>100</v>
      </c>
      <c r="F111" s="627">
        <v>1</v>
      </c>
      <c r="G111" s="549">
        <v>5.6</v>
      </c>
      <c r="H111" s="254">
        <f>E111/10*F111*G111</f>
        <v>56</v>
      </c>
      <c r="I111" s="233">
        <v>131</v>
      </c>
      <c r="J111" s="233" t="s">
        <v>894</v>
      </c>
      <c r="K111" s="240"/>
    </row>
    <row r="112" spans="1:11" x14ac:dyDescent="0.3">
      <c r="A112" s="259"/>
      <c r="B112" s="1280" t="s">
        <v>620</v>
      </c>
      <c r="C112" s="1203"/>
      <c r="D112" s="629"/>
      <c r="E112" s="224"/>
      <c r="F112" s="223"/>
      <c r="G112" s="630"/>
      <c r="H112" s="222">
        <f>SUM(H88:H111)</f>
        <v>85.394999999999996</v>
      </c>
      <c r="I112" s="233"/>
      <c r="J112" s="541"/>
      <c r="K112" s="240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40"/>
    </row>
    <row r="114" spans="1:11" x14ac:dyDescent="0.3">
      <c r="A114" s="1290" t="s">
        <v>621</v>
      </c>
      <c r="B114" s="1291"/>
      <c r="C114" s="1291"/>
      <c r="D114" s="1291"/>
      <c r="E114" s="1291"/>
      <c r="F114" s="1291"/>
      <c r="G114" s="1291"/>
      <c r="H114" s="1291"/>
      <c r="I114" s="1291"/>
      <c r="J114" s="1291"/>
      <c r="K114" s="240"/>
    </row>
    <row r="115" spans="1:11" ht="79.2" x14ac:dyDescent="0.3">
      <c r="A115" s="1292" t="s">
        <v>190</v>
      </c>
      <c r="B115" s="1293"/>
      <c r="C115" s="455" t="s">
        <v>269</v>
      </c>
      <c r="D115" s="1294" t="s">
        <v>270</v>
      </c>
      <c r="E115" s="1168"/>
      <c r="F115" s="456" t="s">
        <v>622</v>
      </c>
      <c r="G115" s="457" t="s">
        <v>896</v>
      </c>
      <c r="H115" s="456" t="s">
        <v>623</v>
      </c>
      <c r="I115" s="456" t="s">
        <v>624</v>
      </c>
      <c r="J115" s="1295" t="s">
        <v>897</v>
      </c>
      <c r="K115" s="1168"/>
    </row>
    <row r="116" spans="1:11" x14ac:dyDescent="0.3">
      <c r="A116" s="1295">
        <v>1</v>
      </c>
      <c r="B116" s="1293"/>
      <c r="C116" s="458">
        <v>2</v>
      </c>
      <c r="D116" s="1296">
        <v>3</v>
      </c>
      <c r="E116" s="754"/>
      <c r="F116" s="459">
        <v>4</v>
      </c>
      <c r="G116" s="460">
        <v>5</v>
      </c>
      <c r="H116" s="459">
        <v>6</v>
      </c>
      <c r="I116" s="459">
        <v>7</v>
      </c>
      <c r="J116" s="1296">
        <v>8</v>
      </c>
      <c r="K116" s="1170"/>
    </row>
    <row r="117" spans="1:11" x14ac:dyDescent="0.3">
      <c r="A117" s="1281" t="s">
        <v>200</v>
      </c>
      <c r="B117" s="1281"/>
      <c r="C117" s="461">
        <f>I83</f>
        <v>155.62400000000002</v>
      </c>
      <c r="D117" s="1267">
        <f>K23</f>
        <v>1993</v>
      </c>
      <c r="E117" s="718"/>
      <c r="F117" s="462">
        <f>C117/D117</f>
        <v>7.8085298544907186E-2</v>
      </c>
      <c r="G117" s="463">
        <f>оклади!K9</f>
        <v>7310</v>
      </c>
      <c r="H117" s="463">
        <f>F117*G117</f>
        <v>570.80353236327153</v>
      </c>
      <c r="I117" s="463">
        <f>H117*0.15</f>
        <v>85.620529854490727</v>
      </c>
      <c r="J117" s="1275">
        <f>H117*1.09+I117</f>
        <v>707.79638013045678</v>
      </c>
      <c r="K117" s="1170"/>
    </row>
    <row r="118" spans="1:11" x14ac:dyDescent="0.3">
      <c r="A118" s="1281" t="s">
        <v>322</v>
      </c>
      <c r="B118" s="1281"/>
      <c r="C118" s="461">
        <f>H112</f>
        <v>85.394999999999996</v>
      </c>
      <c r="D118" s="1282">
        <f>K23</f>
        <v>1993</v>
      </c>
      <c r="E118" s="770"/>
      <c r="F118" s="462">
        <f>C118/D118</f>
        <v>4.2847466131460107E-2</v>
      </c>
      <c r="G118" s="463">
        <f>оклади!K9</f>
        <v>7310</v>
      </c>
      <c r="H118" s="463">
        <f>F118*G118</f>
        <v>313.21497742097341</v>
      </c>
      <c r="I118" s="463">
        <f>H118*0.15</f>
        <v>46.98224661314601</v>
      </c>
      <c r="J118" s="1288">
        <f>H118*1.09+I118</f>
        <v>388.38657200200703</v>
      </c>
      <c r="K118" s="1289"/>
    </row>
    <row r="119" spans="1:11" x14ac:dyDescent="0.3">
      <c r="A119" s="410"/>
      <c r="B119" s="452"/>
      <c r="C119" s="452"/>
      <c r="D119" s="452"/>
      <c r="E119" s="453"/>
      <c r="F119" s="240"/>
      <c r="G119" s="240"/>
      <c r="H119" s="240"/>
      <c r="I119" s="454"/>
      <c r="J119" s="240"/>
      <c r="K119" s="240"/>
    </row>
    <row r="120" spans="1:11" x14ac:dyDescent="0.3">
      <c r="A120" s="1283" t="s">
        <v>625</v>
      </c>
      <c r="B120" s="1283"/>
      <c r="C120" s="1283"/>
      <c r="D120" s="1283"/>
      <c r="E120" s="1283"/>
      <c r="F120" s="1283"/>
      <c r="G120" s="1283"/>
      <c r="H120" s="1283"/>
      <c r="I120" s="1283"/>
      <c r="J120" s="1283"/>
      <c r="K120" s="1283"/>
    </row>
    <row r="121" spans="1:11" ht="132" x14ac:dyDescent="0.3">
      <c r="A121" s="1167" t="s">
        <v>277</v>
      </c>
      <c r="B121" s="1284"/>
      <c r="C121" s="1167" t="s">
        <v>278</v>
      </c>
      <c r="D121" s="1285"/>
      <c r="E121" s="1168"/>
      <c r="F121" s="1167" t="s">
        <v>497</v>
      </c>
      <c r="G121" s="1168"/>
      <c r="H121" s="231" t="s">
        <v>280</v>
      </c>
      <c r="I121" s="1167" t="s">
        <v>626</v>
      </c>
      <c r="J121" s="1286"/>
      <c r="K121" s="231" t="s">
        <v>627</v>
      </c>
    </row>
    <row r="122" spans="1:11" x14ac:dyDescent="0.3">
      <c r="A122" s="1167">
        <v>1</v>
      </c>
      <c r="B122" s="1284"/>
      <c r="C122" s="1167">
        <v>2</v>
      </c>
      <c r="D122" s="1285"/>
      <c r="E122" s="1286"/>
      <c r="F122" s="1167">
        <v>3</v>
      </c>
      <c r="G122" s="1286"/>
      <c r="H122" s="232">
        <v>4</v>
      </c>
      <c r="I122" s="1167">
        <v>5</v>
      </c>
      <c r="J122" s="1286"/>
      <c r="K122" s="231">
        <v>6</v>
      </c>
    </row>
    <row r="123" spans="1:11" ht="38.4" customHeight="1" x14ac:dyDescent="0.3">
      <c r="A123" s="1385" t="s">
        <v>283</v>
      </c>
      <c r="B123" s="1386"/>
      <c r="C123" s="1252">
        <f>прибирання!C49</f>
        <v>1782768</v>
      </c>
      <c r="D123" s="1252"/>
      <c r="E123" s="1155"/>
      <c r="F123" s="1157">
        <f>прибирання!D49</f>
        <v>4193729</v>
      </c>
      <c r="G123" s="1157"/>
      <c r="H123" s="464">
        <f>C123/F123*100</f>
        <v>42.51032911282536</v>
      </c>
      <c r="I123" s="1387">
        <f>J117+J118</f>
        <v>1096.1829521324639</v>
      </c>
      <c r="J123" s="1388"/>
      <c r="K123" s="243">
        <f>H123*I123/100</f>
        <v>465.99098063019528</v>
      </c>
    </row>
    <row r="124" spans="1:11" ht="31.8" customHeight="1" x14ac:dyDescent="0.3">
      <c r="A124" s="1385" t="s">
        <v>284</v>
      </c>
      <c r="B124" s="1386"/>
      <c r="C124" s="1252">
        <f>прибирання!C50</f>
        <v>2914645</v>
      </c>
      <c r="D124" s="1252"/>
      <c r="E124" s="1155"/>
      <c r="F124" s="1157">
        <f>прибирання!D50</f>
        <v>14598843</v>
      </c>
      <c r="G124" s="1157"/>
      <c r="H124" s="464">
        <f>C124/F124*100</f>
        <v>19.964904068082657</v>
      </c>
      <c r="I124" s="1387">
        <f>J10+J11+J13+J14+K123+J15</f>
        <v>4148.8182971471997</v>
      </c>
      <c r="J124" s="1388"/>
      <c r="K124" s="243">
        <f>H124*I124/100</f>
        <v>828.30759298449891</v>
      </c>
    </row>
    <row r="125" spans="1:11" ht="24.6" customHeight="1" x14ac:dyDescent="0.3">
      <c r="A125" s="1391" t="s">
        <v>285</v>
      </c>
      <c r="B125" s="1392"/>
      <c r="C125" s="1254"/>
      <c r="D125" s="1254"/>
      <c r="E125" s="1158"/>
      <c r="F125" s="1160"/>
      <c r="G125" s="1160"/>
      <c r="H125" s="465"/>
      <c r="I125" s="1393"/>
      <c r="J125" s="1394"/>
      <c r="K125" s="406">
        <f>SUM(K123:K124)</f>
        <v>1294.2985736146943</v>
      </c>
    </row>
    <row r="126" spans="1:11" x14ac:dyDescent="0.3">
      <c r="A126" s="151"/>
      <c r="B126" s="151"/>
      <c r="C126" s="151"/>
      <c r="D126" s="151"/>
      <c r="E126" s="151"/>
      <c r="F126" s="151"/>
      <c r="G126" s="151"/>
      <c r="H126" s="151"/>
      <c r="I126" s="151"/>
      <c r="J126" s="151"/>
      <c r="K126" s="151"/>
    </row>
    <row r="127" spans="1:11" ht="53.4" x14ac:dyDescent="0.3">
      <c r="A127" s="1175" t="s">
        <v>628</v>
      </c>
      <c r="B127" s="1175"/>
      <c r="C127" s="1175"/>
      <c r="D127" s="466" t="s">
        <v>629</v>
      </c>
      <c r="E127" s="467" t="s">
        <v>630</v>
      </c>
      <c r="F127" s="468" t="s">
        <v>631</v>
      </c>
      <c r="G127" s="467" t="s">
        <v>632</v>
      </c>
      <c r="H127" s="1287" t="s">
        <v>633</v>
      </c>
      <c r="I127" s="1287"/>
      <c r="J127" s="467" t="s">
        <v>634</v>
      </c>
      <c r="K127" s="151"/>
    </row>
    <row r="128" spans="1:11" x14ac:dyDescent="0.3">
      <c r="A128" s="1269">
        <v>1</v>
      </c>
      <c r="B128" s="1269"/>
      <c r="C128" s="1269"/>
      <c r="D128" s="469">
        <v>2</v>
      </c>
      <c r="E128" s="469">
        <v>3</v>
      </c>
      <c r="F128" s="469">
        <v>4</v>
      </c>
      <c r="G128" s="469">
        <v>5</v>
      </c>
      <c r="H128" s="1175">
        <v>6</v>
      </c>
      <c r="I128" s="1175"/>
      <c r="J128" s="469">
        <v>7</v>
      </c>
      <c r="K128" s="151"/>
    </row>
    <row r="129" spans="1:11" x14ac:dyDescent="0.3">
      <c r="A129" s="1268" t="s">
        <v>635</v>
      </c>
      <c r="B129" s="1268"/>
      <c r="C129" s="1268"/>
      <c r="D129" s="409">
        <v>0.5</v>
      </c>
      <c r="E129" s="409">
        <f>E77+E78</f>
        <v>10</v>
      </c>
      <c r="F129" s="409">
        <v>79</v>
      </c>
      <c r="G129" s="409">
        <f>D129*E129*F129</f>
        <v>395</v>
      </c>
      <c r="H129" s="1273">
        <f>G129/12</f>
        <v>32.916666666666664</v>
      </c>
      <c r="I129" s="1273"/>
      <c r="J129" s="470" t="s">
        <v>636</v>
      </c>
      <c r="K129" s="151"/>
    </row>
    <row r="130" spans="1:11" x14ac:dyDescent="0.3">
      <c r="A130" s="1268" t="s">
        <v>637</v>
      </c>
      <c r="B130" s="1268"/>
      <c r="C130" s="1268"/>
      <c r="D130" s="471">
        <v>8</v>
      </c>
      <c r="E130" s="471">
        <f>E79</f>
        <v>4</v>
      </c>
      <c r="F130" s="409">
        <v>8.4700000000000006</v>
      </c>
      <c r="G130" s="409">
        <f t="shared" ref="G130:G134" si="4">D130*E130*F130</f>
        <v>271.04000000000002</v>
      </c>
      <c r="H130" s="1389">
        <f>G130/12</f>
        <v>22.58666666666667</v>
      </c>
      <c r="I130" s="1390"/>
      <c r="J130" s="412" t="s">
        <v>607</v>
      </c>
      <c r="K130" s="151"/>
    </row>
    <row r="131" spans="1:11" x14ac:dyDescent="0.3">
      <c r="A131" s="1268" t="s">
        <v>898</v>
      </c>
      <c r="B131" s="1268"/>
      <c r="C131" s="1268"/>
      <c r="D131" s="409">
        <v>1</v>
      </c>
      <c r="E131" s="471">
        <f>E108+E88</f>
        <v>2</v>
      </c>
      <c r="F131" s="409">
        <v>20.51</v>
      </c>
      <c r="G131" s="409">
        <f t="shared" si="4"/>
        <v>41.02</v>
      </c>
      <c r="H131" s="1273">
        <f>G131/12</f>
        <v>3.4183333333333334</v>
      </c>
      <c r="I131" s="1273"/>
      <c r="J131" s="469"/>
    </row>
    <row r="132" spans="1:11" x14ac:dyDescent="0.3">
      <c r="A132" s="1268" t="s">
        <v>899</v>
      </c>
      <c r="B132" s="1268"/>
      <c r="C132" s="1268"/>
      <c r="D132" s="409"/>
      <c r="E132" s="471">
        <f>E96</f>
        <v>9</v>
      </c>
      <c r="F132" s="409">
        <v>3.27</v>
      </c>
      <c r="G132" s="409">
        <f>E132*F132</f>
        <v>29.43</v>
      </c>
      <c r="H132" s="1273">
        <f t="shared" ref="H132:H139" si="5">G132/12</f>
        <v>2.4525000000000001</v>
      </c>
      <c r="I132" s="1273"/>
      <c r="J132" s="412" t="s">
        <v>858</v>
      </c>
    </row>
    <row r="133" spans="1:11" x14ac:dyDescent="0.3">
      <c r="A133" s="1268" t="s">
        <v>900</v>
      </c>
      <c r="B133" s="1268"/>
      <c r="C133" s="1268"/>
      <c r="D133" s="409"/>
      <c r="E133" s="471">
        <f>E97</f>
        <v>6</v>
      </c>
      <c r="F133" s="409">
        <v>1.19</v>
      </c>
      <c r="G133" s="409">
        <f>E133*F133</f>
        <v>7.14</v>
      </c>
      <c r="H133" s="1273">
        <f t="shared" si="5"/>
        <v>0.59499999999999997</v>
      </c>
      <c r="I133" s="1273"/>
      <c r="J133" s="412" t="s">
        <v>861</v>
      </c>
    </row>
    <row r="134" spans="1:11" x14ac:dyDescent="0.3">
      <c r="A134" s="1268" t="s">
        <v>907</v>
      </c>
      <c r="B134" s="1268"/>
      <c r="C134" s="1268"/>
      <c r="D134" s="471">
        <f>E99</f>
        <v>30</v>
      </c>
      <c r="E134" s="409">
        <v>0.5</v>
      </c>
      <c r="F134" s="409">
        <v>18.100000000000001</v>
      </c>
      <c r="G134" s="409">
        <f t="shared" si="4"/>
        <v>271.5</v>
      </c>
      <c r="H134" s="1273">
        <f t="shared" si="5"/>
        <v>22.625</v>
      </c>
      <c r="I134" s="1273"/>
      <c r="J134" s="469" t="s">
        <v>864</v>
      </c>
    </row>
    <row r="135" spans="1:11" x14ac:dyDescent="0.3">
      <c r="A135" s="1268" t="s">
        <v>901</v>
      </c>
      <c r="B135" s="1268"/>
      <c r="C135" s="1268"/>
      <c r="D135" s="409"/>
      <c r="E135" s="471">
        <f>E102</f>
        <v>2</v>
      </c>
      <c r="F135" s="409">
        <v>5.74</v>
      </c>
      <c r="G135" s="409">
        <f>E135*F135</f>
        <v>11.48</v>
      </c>
      <c r="H135" s="1273">
        <f t="shared" si="5"/>
        <v>0.95666666666666667</v>
      </c>
      <c r="I135" s="1273"/>
      <c r="J135" s="469" t="s">
        <v>871</v>
      </c>
    </row>
    <row r="136" spans="1:11" x14ac:dyDescent="0.3">
      <c r="A136" s="1268" t="s">
        <v>901</v>
      </c>
      <c r="B136" s="1268"/>
      <c r="C136" s="1268"/>
      <c r="D136" s="409"/>
      <c r="E136" s="471">
        <f>E103</f>
        <v>2</v>
      </c>
      <c r="F136" s="409">
        <v>5.74</v>
      </c>
      <c r="G136" s="409">
        <f t="shared" ref="G136:G139" si="6">E136*F136</f>
        <v>11.48</v>
      </c>
      <c r="H136" s="1273">
        <f t="shared" si="5"/>
        <v>0.95666666666666667</v>
      </c>
      <c r="I136" s="1273"/>
      <c r="J136" s="469" t="s">
        <v>873</v>
      </c>
    </row>
    <row r="137" spans="1:11" x14ac:dyDescent="0.3">
      <c r="A137" s="1268" t="s">
        <v>902</v>
      </c>
      <c r="B137" s="1268"/>
      <c r="C137" s="1268"/>
      <c r="D137" s="613"/>
      <c r="E137" s="631">
        <f>E106</f>
        <v>4</v>
      </c>
      <c r="F137" s="508">
        <v>40.47</v>
      </c>
      <c r="G137" s="409">
        <f t="shared" si="6"/>
        <v>161.88</v>
      </c>
      <c r="H137" s="1273">
        <f t="shared" si="5"/>
        <v>13.49</v>
      </c>
      <c r="I137" s="1273"/>
      <c r="J137" s="469" t="s">
        <v>903</v>
      </c>
    </row>
    <row r="138" spans="1:11" x14ac:dyDescent="0.3">
      <c r="A138" s="1268" t="s">
        <v>904</v>
      </c>
      <c r="B138" s="1268"/>
      <c r="C138" s="1268"/>
      <c r="D138" s="1274">
        <f>E117</f>
        <v>0</v>
      </c>
      <c r="E138" s="409"/>
      <c r="F138" s="409"/>
      <c r="G138" s="409">
        <f t="shared" si="6"/>
        <v>0</v>
      </c>
      <c r="H138" s="1273">
        <f t="shared" si="5"/>
        <v>0</v>
      </c>
      <c r="I138" s="1273"/>
      <c r="J138" s="1175" t="s">
        <v>887</v>
      </c>
    </row>
    <row r="139" spans="1:11" x14ac:dyDescent="0.3">
      <c r="A139" s="1268" t="s">
        <v>905</v>
      </c>
      <c r="B139" s="1268"/>
      <c r="C139" s="1268"/>
      <c r="D139" s="1175"/>
      <c r="E139" s="471">
        <f>E109</f>
        <v>6</v>
      </c>
      <c r="F139" s="409">
        <v>30.98</v>
      </c>
      <c r="G139" s="409">
        <f t="shared" si="6"/>
        <v>185.88</v>
      </c>
      <c r="H139" s="1269">
        <f t="shared" si="5"/>
        <v>15.49</v>
      </c>
      <c r="I139" s="1269"/>
      <c r="J139" s="1175"/>
    </row>
    <row r="140" spans="1:11" x14ac:dyDescent="0.3">
      <c r="A140" s="1270" t="s">
        <v>906</v>
      </c>
      <c r="B140" s="1270"/>
      <c r="C140" s="1270"/>
      <c r="D140" s="212"/>
      <c r="E140" s="212"/>
      <c r="F140" s="212"/>
      <c r="G140" s="212"/>
      <c r="H140" s="1271">
        <f>SUM(H129:H139)</f>
        <v>115.48749999999998</v>
      </c>
      <c r="I140" s="1272"/>
      <c r="J140" s="212"/>
    </row>
    <row r="141" spans="1:11" x14ac:dyDescent="0.3">
      <c r="A141" s="666" t="s">
        <v>946</v>
      </c>
      <c r="B141" s="666"/>
      <c r="C141" s="666"/>
      <c r="D141" s="666"/>
      <c r="E141" s="666"/>
      <c r="F141" s="666"/>
      <c r="G141" s="666"/>
      <c r="H141" s="666"/>
      <c r="I141" s="666"/>
    </row>
    <row r="142" spans="1:11" ht="69" x14ac:dyDescent="0.3">
      <c r="A142" s="667" t="s">
        <v>13</v>
      </c>
      <c r="B142" s="1383" t="s">
        <v>947</v>
      </c>
      <c r="C142" s="1383"/>
      <c r="D142" s="1383"/>
      <c r="E142" s="1383"/>
      <c r="F142" s="1383"/>
      <c r="G142" s="1383"/>
      <c r="H142" s="667" t="s">
        <v>948</v>
      </c>
      <c r="I142" s="667" t="s">
        <v>949</v>
      </c>
    </row>
    <row r="143" spans="1:11" x14ac:dyDescent="0.3">
      <c r="A143" s="668">
        <v>1</v>
      </c>
      <c r="B143" s="1384" t="s">
        <v>950</v>
      </c>
      <c r="C143" s="1384"/>
      <c r="D143" s="1384"/>
      <c r="E143" s="1384"/>
      <c r="F143" s="1384"/>
      <c r="G143" s="1384"/>
      <c r="H143" s="245">
        <v>3936.38</v>
      </c>
      <c r="I143" s="245">
        <f>ROUND(H143/12,2)</f>
        <v>328.03</v>
      </c>
    </row>
  </sheetData>
  <mergeCells count="245">
    <mergeCell ref="B142:G142"/>
    <mergeCell ref="B143:G143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31:C131"/>
    <mergeCell ref="H131:I131"/>
    <mergeCell ref="A132:C132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A117:B117"/>
    <mergeCell ref="D117:E117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J117:K117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15" zoomScaleNormal="100" workbookViewId="0">
      <selection activeCell="A31" sqref="A31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КанівШевченка21</v>
      </c>
      <c r="F1" s="1246" t="s">
        <v>214</v>
      </c>
      <c r="G1" s="1246"/>
      <c r="H1" s="1246"/>
      <c r="I1" s="1246"/>
    </row>
    <row r="2" spans="1:10" x14ac:dyDescent="0.3">
      <c r="F2" s="1246" t="s">
        <v>108</v>
      </c>
      <c r="G2" s="1246"/>
      <c r="H2" s="1246"/>
      <c r="I2" s="1246"/>
    </row>
    <row r="3" spans="1:10" x14ac:dyDescent="0.3">
      <c r="F3" s="1247" t="s">
        <v>638</v>
      </c>
      <c r="G3" s="1247"/>
      <c r="H3" s="1247"/>
      <c r="I3" s="1247"/>
    </row>
    <row r="4" spans="1:10" x14ac:dyDescent="0.3">
      <c r="F4" s="252"/>
      <c r="G4" s="253"/>
      <c r="H4" s="1248" t="s">
        <v>296</v>
      </c>
      <c r="I4" s="1248"/>
    </row>
    <row r="6" spans="1:10" x14ac:dyDescent="0.3">
      <c r="A6" s="1249" t="s">
        <v>300</v>
      </c>
      <c r="B6" s="1249"/>
      <c r="C6" s="1249"/>
      <c r="D6" s="1249"/>
      <c r="E6" s="1249"/>
      <c r="F6" s="1249"/>
      <c r="G6" s="1249"/>
      <c r="H6" s="1249"/>
      <c r="I6" s="1249"/>
      <c r="J6" s="1249"/>
    </row>
    <row r="7" spans="1:10" x14ac:dyDescent="0.3">
      <c r="A7" s="151"/>
      <c r="B7" s="1249" t="s">
        <v>944</v>
      </c>
      <c r="C7" s="1395"/>
      <c r="D7" s="1395"/>
      <c r="E7" s="1396"/>
      <c r="F7" s="1396"/>
      <c r="G7" s="1396"/>
      <c r="H7" s="1396"/>
      <c r="I7" s="1396"/>
    </row>
    <row r="8" spans="1:10" ht="15.6" x14ac:dyDescent="0.3">
      <c r="A8" s="151"/>
      <c r="B8" s="482"/>
      <c r="C8" s="183"/>
      <c r="D8" s="183"/>
      <c r="E8" s="151"/>
      <c r="F8" s="151"/>
      <c r="G8" s="151"/>
      <c r="H8" s="151"/>
      <c r="I8" s="151"/>
    </row>
    <row r="9" spans="1:10" x14ac:dyDescent="0.3">
      <c r="A9" s="1397" t="s">
        <v>945</v>
      </c>
      <c r="B9" s="1398"/>
      <c r="C9" s="1398"/>
      <c r="D9" s="1398"/>
      <c r="E9" s="1398"/>
      <c r="F9" s="1398"/>
      <c r="G9" s="1398"/>
      <c r="H9" s="1398"/>
      <c r="I9" s="1398"/>
    </row>
    <row r="10" spans="1:10" ht="26.4" x14ac:dyDescent="0.3">
      <c r="A10" s="483" t="s">
        <v>216</v>
      </c>
      <c r="B10" s="1399" t="s">
        <v>217</v>
      </c>
      <c r="C10" s="1400"/>
      <c r="D10" s="1401"/>
      <c r="E10" s="484" t="s">
        <v>218</v>
      </c>
      <c r="F10" s="1402" t="s">
        <v>219</v>
      </c>
      <c r="G10" s="1403"/>
      <c r="H10" s="1404" t="s">
        <v>493</v>
      </c>
      <c r="I10" s="1405"/>
    </row>
    <row r="11" spans="1:10" x14ac:dyDescent="0.3">
      <c r="A11" s="220">
        <v>1</v>
      </c>
      <c r="B11" s="1406" t="s">
        <v>664</v>
      </c>
      <c r="C11" s="1407"/>
      <c r="D11" s="1408"/>
      <c r="E11" s="468" t="s">
        <v>181</v>
      </c>
      <c r="F11" s="1409">
        <f>ROUND(H11*12,2)</f>
        <v>1522.82</v>
      </c>
      <c r="G11" s="1410"/>
      <c r="H11" s="1411">
        <f>I37</f>
        <v>126.90160000000002</v>
      </c>
      <c r="I11" s="1412"/>
    </row>
    <row r="12" spans="1:10" ht="30" customHeight="1" x14ac:dyDescent="0.3">
      <c r="A12" s="152">
        <v>2</v>
      </c>
      <c r="B12" s="1406" t="s">
        <v>913</v>
      </c>
      <c r="C12" s="1407"/>
      <c r="D12" s="1408"/>
      <c r="E12" s="468" t="s">
        <v>181</v>
      </c>
      <c r="F12" s="1409">
        <f>H12*12</f>
        <v>335.0202240000001</v>
      </c>
      <c r="G12" s="1410"/>
      <c r="H12" s="1411">
        <f>I36*розрахунок!D13/100</f>
        <v>27.918352000000006</v>
      </c>
      <c r="I12" s="1412"/>
    </row>
    <row r="13" spans="1:10" x14ac:dyDescent="0.3">
      <c r="A13" s="220">
        <v>3</v>
      </c>
      <c r="B13" s="1406" t="s">
        <v>504</v>
      </c>
      <c r="C13" s="1407"/>
      <c r="D13" s="1408"/>
      <c r="E13" s="468" t="s">
        <v>181</v>
      </c>
      <c r="F13" s="1409">
        <f>H13*12</f>
        <v>1153.3210684199528</v>
      </c>
      <c r="G13" s="1410"/>
      <c r="H13" s="1411">
        <f>H44</f>
        <v>96.110089034996065</v>
      </c>
      <c r="I13" s="1412"/>
    </row>
    <row r="14" spans="1:10" x14ac:dyDescent="0.3">
      <c r="A14" s="220">
        <v>4</v>
      </c>
      <c r="B14" s="1406" t="s">
        <v>642</v>
      </c>
      <c r="C14" s="1407"/>
      <c r="D14" s="1408"/>
      <c r="E14" s="468" t="s">
        <v>181</v>
      </c>
      <c r="F14" s="1409">
        <f>H14*12</f>
        <v>29.080333333333328</v>
      </c>
      <c r="G14" s="1410"/>
      <c r="H14" s="1411">
        <f>інвентар!I13</f>
        <v>2.4233611111111109</v>
      </c>
      <c r="I14" s="1412"/>
    </row>
    <row r="15" spans="1:10" x14ac:dyDescent="0.3">
      <c r="A15" s="220">
        <v>5</v>
      </c>
      <c r="B15" s="1406" t="s">
        <v>491</v>
      </c>
      <c r="C15" s="1407"/>
      <c r="D15" s="1408"/>
      <c r="E15" s="468" t="s">
        <v>181</v>
      </c>
      <c r="F15" s="1409">
        <f>H15*12</f>
        <v>0</v>
      </c>
      <c r="G15" s="1410"/>
      <c r="H15" s="1411">
        <v>0</v>
      </c>
      <c r="I15" s="1412"/>
    </row>
    <row r="16" spans="1:10" hidden="1" x14ac:dyDescent="0.3">
      <c r="A16" s="220">
        <v>6</v>
      </c>
      <c r="B16" s="1406" t="s">
        <v>665</v>
      </c>
      <c r="C16" s="1407"/>
      <c r="D16" s="1408"/>
      <c r="E16" s="468" t="s">
        <v>168</v>
      </c>
      <c r="F16" s="1413">
        <f>[1]Таблица_Характеристика!N94</f>
        <v>0</v>
      </c>
      <c r="G16" s="1414"/>
      <c r="H16" s="1415"/>
      <c r="I16" s="1416"/>
    </row>
    <row r="17" spans="1:9" hidden="1" x14ac:dyDescent="0.3">
      <c r="A17" s="220">
        <v>7</v>
      </c>
      <c r="B17" s="1406" t="s">
        <v>666</v>
      </c>
      <c r="C17" s="1407"/>
      <c r="D17" s="1408"/>
      <c r="E17" s="468" t="s">
        <v>168</v>
      </c>
      <c r="F17" s="1413">
        <f>розрахунок!D11</f>
        <v>1100</v>
      </c>
      <c r="G17" s="1414"/>
      <c r="H17" s="1415"/>
      <c r="I17" s="1416"/>
    </row>
    <row r="18" spans="1:9" x14ac:dyDescent="0.3">
      <c r="A18" s="220">
        <v>6</v>
      </c>
      <c r="B18" s="1406" t="s">
        <v>667</v>
      </c>
      <c r="C18" s="1407"/>
      <c r="D18" s="1408"/>
      <c r="E18" s="468" t="s">
        <v>168</v>
      </c>
      <c r="F18" s="1413">
        <f>Характеристика!N83</f>
        <v>68</v>
      </c>
      <c r="G18" s="1414"/>
      <c r="H18" s="1415"/>
      <c r="I18" s="1416"/>
    </row>
    <row r="19" spans="1:9" x14ac:dyDescent="0.3">
      <c r="A19" s="220">
        <v>7</v>
      </c>
      <c r="B19" s="1406" t="s">
        <v>668</v>
      </c>
      <c r="C19" s="1407"/>
      <c r="D19" s="1408"/>
      <c r="E19" s="468" t="s">
        <v>168</v>
      </c>
      <c r="F19" s="1413">
        <f>розрахунок!D12</f>
        <v>5000</v>
      </c>
      <c r="G19" s="1414"/>
      <c r="H19" s="1415"/>
      <c r="I19" s="1416"/>
    </row>
    <row r="20" spans="1:9" ht="25.8" hidden="1" customHeight="1" x14ac:dyDescent="0.3">
      <c r="A20" s="220">
        <v>10</v>
      </c>
      <c r="B20" s="1406" t="s">
        <v>643</v>
      </c>
      <c r="C20" s="1407"/>
      <c r="D20" s="1408"/>
      <c r="E20" s="468" t="s">
        <v>181</v>
      </c>
      <c r="F20" s="1417">
        <f>H20*12</f>
        <v>0</v>
      </c>
      <c r="G20" s="1418"/>
      <c r="H20" s="1419"/>
      <c r="I20" s="1420"/>
    </row>
    <row r="21" spans="1:9" ht="27.6" hidden="1" customHeight="1" x14ac:dyDescent="0.3">
      <c r="A21" s="220">
        <v>11</v>
      </c>
      <c r="B21" s="1406" t="s">
        <v>644</v>
      </c>
      <c r="C21" s="1407"/>
      <c r="D21" s="1408"/>
      <c r="E21" s="468" t="s">
        <v>181</v>
      </c>
      <c r="F21" s="1426">
        <f>H21*12</f>
        <v>0</v>
      </c>
      <c r="G21" s="1427"/>
      <c r="H21" s="1428"/>
      <c r="I21" s="1429"/>
    </row>
    <row r="22" spans="1:9" ht="44.4" hidden="1" customHeight="1" x14ac:dyDescent="0.3">
      <c r="A22" s="220">
        <v>12</v>
      </c>
      <c r="B22" s="1406" t="s">
        <v>645</v>
      </c>
      <c r="C22" s="1407"/>
      <c r="D22" s="1408"/>
      <c r="E22" s="468" t="s">
        <v>181</v>
      </c>
      <c r="F22" s="1430">
        <f>F16*F20+F18*F21</f>
        <v>0</v>
      </c>
      <c r="G22" s="1431"/>
      <c r="H22" s="1432">
        <f>F22/12</f>
        <v>0</v>
      </c>
      <c r="I22" s="1433"/>
    </row>
    <row r="23" spans="1:9" x14ac:dyDescent="0.3">
      <c r="A23" s="220">
        <v>8</v>
      </c>
      <c r="B23" s="1421" t="s">
        <v>669</v>
      </c>
      <c r="C23" s="1422"/>
      <c r="D23" s="1423"/>
      <c r="E23" s="486" t="s">
        <v>181</v>
      </c>
      <c r="F23" s="1424">
        <f>F11+F12+F13+F14+F15</f>
        <v>3040.2416257532859</v>
      </c>
      <c r="G23" s="1425"/>
      <c r="H23" s="1424">
        <f>H11+H12+H13+H14+H15</f>
        <v>253.35340214610721</v>
      </c>
      <c r="I23" s="1425"/>
    </row>
    <row r="24" spans="1:9" s="258" customFormat="1" ht="22.2" customHeight="1" x14ac:dyDescent="0.3">
      <c r="A24" s="152">
        <v>9</v>
      </c>
      <c r="B24" s="1436" t="s">
        <v>123</v>
      </c>
      <c r="C24" s="1437"/>
      <c r="D24" s="1438"/>
      <c r="E24" s="477" t="s">
        <v>646</v>
      </c>
      <c r="F24" s="1439">
        <f>Характеристика!N18</f>
        <v>2941.7</v>
      </c>
      <c r="G24" s="1440"/>
      <c r="H24" s="1440"/>
      <c r="I24" s="1441"/>
    </row>
    <row r="25" spans="1:9" x14ac:dyDescent="0.3">
      <c r="A25" s="220">
        <v>10</v>
      </c>
      <c r="B25" s="1259" t="s">
        <v>502</v>
      </c>
      <c r="C25" s="1442"/>
      <c r="D25" s="1443"/>
      <c r="E25" s="220" t="s">
        <v>181</v>
      </c>
      <c r="F25" s="1444">
        <f>H23/F24</f>
        <v>8.6124826510557584E-2</v>
      </c>
      <c r="G25" s="1445"/>
      <c r="H25" s="1445"/>
      <c r="I25" s="1446"/>
    </row>
    <row r="26" spans="1:9" x14ac:dyDescent="0.3">
      <c r="A26" s="151"/>
      <c r="B26" s="151"/>
      <c r="C26" s="151"/>
      <c r="D26" s="151"/>
      <c r="E26" s="151"/>
      <c r="F26" s="151"/>
      <c r="G26" s="151"/>
      <c r="H26" s="151"/>
      <c r="I26" s="151"/>
    </row>
    <row r="27" spans="1:9" x14ac:dyDescent="0.3">
      <c r="A27" s="183" t="s">
        <v>647</v>
      </c>
      <c r="B27" s="183" t="s">
        <v>648</v>
      </c>
      <c r="C27" s="151"/>
      <c r="D27" s="151"/>
      <c r="E27" s="151"/>
      <c r="F27" s="151"/>
      <c r="G27" s="151"/>
      <c r="H27" s="151"/>
      <c r="I27" s="151"/>
    </row>
    <row r="28" spans="1:9" ht="27" x14ac:dyDescent="0.3">
      <c r="A28" s="483" t="s">
        <v>216</v>
      </c>
      <c r="B28" s="1447" t="s">
        <v>649</v>
      </c>
      <c r="C28" s="1447"/>
      <c r="D28" s="1141"/>
      <c r="E28" s="1141"/>
      <c r="F28" s="1141"/>
      <c r="G28" s="1141"/>
      <c r="H28" s="487" t="s">
        <v>218</v>
      </c>
      <c r="I28" s="152" t="s">
        <v>650</v>
      </c>
    </row>
    <row r="29" spans="1:9" hidden="1" x14ac:dyDescent="0.3">
      <c r="A29" s="412">
        <v>1</v>
      </c>
      <c r="B29" s="1448" t="s">
        <v>651</v>
      </c>
      <c r="C29" s="1448"/>
      <c r="D29" s="1141"/>
      <c r="E29" s="1141"/>
      <c r="F29" s="1141"/>
      <c r="G29" s="1141"/>
      <c r="H29" s="412" t="s">
        <v>168</v>
      </c>
      <c r="I29" s="488">
        <v>1100</v>
      </c>
    </row>
    <row r="30" spans="1:9" ht="31.2" customHeight="1" x14ac:dyDescent="0.3">
      <c r="A30" s="412">
        <v>1</v>
      </c>
      <c r="B30" s="1448" t="s">
        <v>652</v>
      </c>
      <c r="C30" s="1448"/>
      <c r="D30" s="1141"/>
      <c r="E30" s="1141"/>
      <c r="F30" s="1141"/>
      <c r="G30" s="1141"/>
      <c r="H30" s="412" t="s">
        <v>168</v>
      </c>
      <c r="I30" s="488">
        <v>5000</v>
      </c>
    </row>
    <row r="31" spans="1:9" x14ac:dyDescent="0.3">
      <c r="A31" s="151"/>
      <c r="B31" s="151"/>
      <c r="C31" s="151"/>
      <c r="D31" s="151"/>
      <c r="E31" s="151"/>
      <c r="F31" s="151"/>
      <c r="G31" s="151"/>
      <c r="H31" s="151"/>
      <c r="I31" s="151"/>
    </row>
    <row r="32" spans="1:9" x14ac:dyDescent="0.3">
      <c r="A32" s="183" t="s">
        <v>527</v>
      </c>
      <c r="B32" s="183" t="s">
        <v>653</v>
      </c>
      <c r="C32" s="151"/>
      <c r="D32" s="151"/>
      <c r="E32" s="151"/>
      <c r="F32" s="151"/>
      <c r="G32" s="151"/>
      <c r="H32" s="151"/>
      <c r="I32" s="151"/>
    </row>
    <row r="33" spans="1:9" ht="118.8" x14ac:dyDescent="0.3">
      <c r="A33" s="1449" t="s">
        <v>654</v>
      </c>
      <c r="B33" s="1187"/>
      <c r="C33" s="489" t="s">
        <v>655</v>
      </c>
      <c r="D33" s="490" t="s">
        <v>656</v>
      </c>
      <c r="E33" s="261" t="s">
        <v>622</v>
      </c>
      <c r="F33" s="491" t="s">
        <v>657</v>
      </c>
      <c r="G33" s="261" t="s">
        <v>658</v>
      </c>
      <c r="H33" s="261" t="s">
        <v>624</v>
      </c>
      <c r="I33" s="261" t="s">
        <v>275</v>
      </c>
    </row>
    <row r="34" spans="1:9" x14ac:dyDescent="0.3">
      <c r="A34" s="1450">
        <v>1</v>
      </c>
      <c r="B34" s="1187"/>
      <c r="C34" s="489">
        <v>2</v>
      </c>
      <c r="D34" s="492">
        <v>3</v>
      </c>
      <c r="E34" s="492">
        <v>4</v>
      </c>
      <c r="F34" s="493">
        <v>5</v>
      </c>
      <c r="G34" s="492">
        <v>6</v>
      </c>
      <c r="H34" s="492">
        <v>7</v>
      </c>
      <c r="I34" s="494">
        <v>8</v>
      </c>
    </row>
    <row r="35" spans="1:9" ht="48" hidden="1" customHeight="1" x14ac:dyDescent="0.3">
      <c r="A35" s="1451" t="s">
        <v>659</v>
      </c>
      <c r="B35" s="1452"/>
      <c r="C35" s="495">
        <f>F16*0</f>
        <v>0</v>
      </c>
      <c r="D35" s="496">
        <f>F17</f>
        <v>1100</v>
      </c>
      <c r="E35" s="497">
        <f>C35/D35</f>
        <v>0</v>
      </c>
      <c r="F35" s="422">
        <f>оклади!K11</f>
        <v>7310</v>
      </c>
      <c r="G35" s="422">
        <f>E35*F35</f>
        <v>0</v>
      </c>
      <c r="H35" s="422">
        <f>G36*[1]Штатное!F35/100</f>
        <v>0</v>
      </c>
      <c r="I35" s="422">
        <f>G35*1.082+H35</f>
        <v>0</v>
      </c>
    </row>
    <row r="36" spans="1:9" x14ac:dyDescent="0.3">
      <c r="A36" s="1453" t="s">
        <v>660</v>
      </c>
      <c r="B36" s="1454"/>
      <c r="C36" s="495">
        <f>F18</f>
        <v>68</v>
      </c>
      <c r="D36" s="496">
        <f>I30</f>
        <v>5000</v>
      </c>
      <c r="E36" s="497">
        <f>ROUND(C36/D36,3)</f>
        <v>1.4E-2</v>
      </c>
      <c r="F36" s="422">
        <f>оклади!K11</f>
        <v>7310</v>
      </c>
      <c r="G36" s="422">
        <f>ROUND(E36*F36,2)</f>
        <v>102.34</v>
      </c>
      <c r="H36" s="422">
        <f>G36*0.15</f>
        <v>15.350999999999999</v>
      </c>
      <c r="I36" s="422">
        <f>G36*1.09+H36</f>
        <v>126.90160000000002</v>
      </c>
    </row>
    <row r="37" spans="1:9" x14ac:dyDescent="0.3">
      <c r="A37" s="1434" t="s">
        <v>222</v>
      </c>
      <c r="B37" s="1435"/>
      <c r="C37" s="498"/>
      <c r="D37" s="498"/>
      <c r="E37" s="499">
        <f>SUM(E35:E36)</f>
        <v>1.4E-2</v>
      </c>
      <c r="F37" s="424"/>
      <c r="G37" s="500">
        <f>SUM(G35:G36)</f>
        <v>102.34</v>
      </c>
      <c r="H37" s="500">
        <f>SUM(H35:H36)</f>
        <v>15.350999999999999</v>
      </c>
      <c r="I37" s="500">
        <f>SUM(I35:I36)</f>
        <v>126.90160000000002</v>
      </c>
    </row>
    <row r="38" spans="1:9" x14ac:dyDescent="0.3">
      <c r="A38" s="501"/>
      <c r="B38" s="502"/>
      <c r="C38" s="502"/>
      <c r="D38" s="502"/>
      <c r="E38" s="502"/>
      <c r="F38" s="502"/>
      <c r="G38" s="502"/>
      <c r="H38" s="502"/>
      <c r="I38" s="502"/>
    </row>
    <row r="39" spans="1:9" x14ac:dyDescent="0.3">
      <c r="A39" s="1164" t="s">
        <v>661</v>
      </c>
      <c r="B39" s="1455"/>
      <c r="C39" s="1455"/>
      <c r="D39" s="1455"/>
      <c r="E39" s="1455"/>
      <c r="F39" s="1455"/>
      <c r="G39" s="1455"/>
      <c r="H39" s="1455"/>
      <c r="I39" s="1455"/>
    </row>
    <row r="40" spans="1:9" ht="60" x14ac:dyDescent="0.3">
      <c r="A40" s="1155" t="s">
        <v>277</v>
      </c>
      <c r="B40" s="1165"/>
      <c r="C40" s="231" t="s">
        <v>278</v>
      </c>
      <c r="D40" s="231" t="s">
        <v>497</v>
      </c>
      <c r="E40" s="231" t="s">
        <v>280</v>
      </c>
      <c r="F40" s="1155" t="s">
        <v>662</v>
      </c>
      <c r="G40" s="770"/>
      <c r="H40" s="1155" t="s">
        <v>663</v>
      </c>
      <c r="I40" s="1166"/>
    </row>
    <row r="41" spans="1:9" x14ac:dyDescent="0.3">
      <c r="A41" s="1155">
        <v>1</v>
      </c>
      <c r="B41" s="1165"/>
      <c r="C41" s="231">
        <v>2</v>
      </c>
      <c r="D41" s="231">
        <v>3</v>
      </c>
      <c r="E41" s="231">
        <v>4</v>
      </c>
      <c r="F41" s="1155">
        <v>5</v>
      </c>
      <c r="G41" s="770"/>
      <c r="H41" s="1155">
        <v>6</v>
      </c>
      <c r="I41" s="1166"/>
    </row>
    <row r="42" spans="1:9" ht="41.4" customHeight="1" x14ac:dyDescent="0.3">
      <c r="A42" s="1251" t="s">
        <v>283</v>
      </c>
      <c r="B42" s="1251"/>
      <c r="C42" s="404">
        <f>прибирання!C49</f>
        <v>1782768</v>
      </c>
      <c r="D42" s="243">
        <f>прибирання!D49</f>
        <v>4193729</v>
      </c>
      <c r="E42" s="473">
        <f>C42/D42*100</f>
        <v>42.51032911282536</v>
      </c>
      <c r="F42" s="1157">
        <f>I37</f>
        <v>126.90160000000002</v>
      </c>
      <c r="G42" s="770"/>
      <c r="H42" s="1157">
        <f>E42*F42/100</f>
        <v>53.946287809441195</v>
      </c>
      <c r="I42" s="761"/>
    </row>
    <row r="43" spans="1:9" ht="22.2" customHeight="1" x14ac:dyDescent="0.3">
      <c r="A43" s="1251" t="s">
        <v>284</v>
      </c>
      <c r="B43" s="1251"/>
      <c r="C43" s="404">
        <f>прибирання!C50</f>
        <v>2914645</v>
      </c>
      <c r="D43" s="243">
        <f>прибирання!D50</f>
        <v>14598843</v>
      </c>
      <c r="E43" s="473">
        <f>C43/D43*100</f>
        <v>19.964904068082657</v>
      </c>
      <c r="F43" s="1157">
        <f>H42+H11+H12+H14</f>
        <v>211.18960092055232</v>
      </c>
      <c r="G43" s="770"/>
      <c r="H43" s="1157">
        <f>E43*F43/100</f>
        <v>42.163801225554877</v>
      </c>
      <c r="I43" s="761"/>
    </row>
    <row r="44" spans="1:9" ht="40.200000000000003" customHeight="1" x14ac:dyDescent="0.3">
      <c r="A44" s="1253" t="s">
        <v>285</v>
      </c>
      <c r="B44" s="1253"/>
      <c r="C44" s="405"/>
      <c r="D44" s="406"/>
      <c r="E44" s="474"/>
      <c r="F44" s="1160"/>
      <c r="G44" s="770"/>
      <c r="H44" s="1160">
        <f>SUM(H42:H43)</f>
        <v>96.110089034996065</v>
      </c>
      <c r="I44" s="761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3" zoomScaleNormal="100" workbookViewId="0">
      <selection activeCell="F30" sqref="F30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КанівШевченка21</v>
      </c>
      <c r="F1" s="1246" t="s">
        <v>214</v>
      </c>
      <c r="G1" s="1246"/>
      <c r="H1" s="1246"/>
      <c r="I1" s="1246"/>
    </row>
    <row r="2" spans="1:10" x14ac:dyDescent="0.3">
      <c r="F2" s="1246" t="s">
        <v>108</v>
      </c>
      <c r="G2" s="1246"/>
      <c r="H2" s="1246"/>
      <c r="I2" s="1246"/>
    </row>
    <row r="3" spans="1:10" x14ac:dyDescent="0.3">
      <c r="F3" s="1247" t="s">
        <v>638</v>
      </c>
      <c r="G3" s="1247"/>
      <c r="H3" s="1247"/>
      <c r="I3" s="1247"/>
    </row>
    <row r="4" spans="1:10" x14ac:dyDescent="0.3">
      <c r="F4" s="252"/>
      <c r="G4" s="253"/>
      <c r="H4" s="1248" t="s">
        <v>296</v>
      </c>
      <c r="I4" s="1248"/>
    </row>
    <row r="6" spans="1:10" x14ac:dyDescent="0.3">
      <c r="A6" s="1249" t="s">
        <v>300</v>
      </c>
      <c r="B6" s="1249"/>
      <c r="C6" s="1249"/>
      <c r="D6" s="1249"/>
      <c r="E6" s="1249"/>
      <c r="F6" s="1249"/>
      <c r="G6" s="1249"/>
      <c r="H6" s="1249"/>
      <c r="I6" s="1249"/>
      <c r="J6" s="533"/>
    </row>
    <row r="7" spans="1:10" ht="63" customHeight="1" x14ac:dyDescent="0.3">
      <c r="A7" s="1468" t="s">
        <v>680</v>
      </c>
      <c r="B7" s="1468"/>
      <c r="C7" s="1468"/>
      <c r="D7" s="1468"/>
      <c r="E7" s="1468"/>
      <c r="F7" s="1468"/>
      <c r="G7" s="1468"/>
      <c r="H7" s="1468"/>
      <c r="I7" s="1468"/>
    </row>
    <row r="9" spans="1:10" ht="27" x14ac:dyDescent="0.3">
      <c r="A9" s="1447" t="s">
        <v>670</v>
      </c>
      <c r="B9" s="1447"/>
      <c r="C9" s="1447"/>
      <c r="D9" s="1447"/>
      <c r="E9" s="770"/>
      <c r="F9" s="770"/>
      <c r="G9" s="487" t="s">
        <v>218</v>
      </c>
      <c r="H9" s="184" t="s">
        <v>219</v>
      </c>
      <c r="I9" s="184" t="s">
        <v>493</v>
      </c>
    </row>
    <row r="10" spans="1:10" ht="29.4" customHeight="1" x14ac:dyDescent="0.3">
      <c r="A10" s="1448" t="s">
        <v>681</v>
      </c>
      <c r="B10" s="1448"/>
      <c r="C10" s="1448"/>
      <c r="D10" s="1448"/>
      <c r="E10" s="770"/>
      <c r="F10" s="770"/>
      <c r="G10" s="469" t="s">
        <v>181</v>
      </c>
      <c r="H10" s="507">
        <f>F33</f>
        <v>8399</v>
      </c>
      <c r="I10" s="507">
        <f>ROUND(H10/12,2)</f>
        <v>699.92</v>
      </c>
    </row>
    <row r="11" spans="1:10" ht="28.2" customHeight="1" x14ac:dyDescent="0.3">
      <c r="A11" s="1448" t="s">
        <v>304</v>
      </c>
      <c r="B11" s="1448"/>
      <c r="C11" s="1448"/>
      <c r="D11" s="1448"/>
      <c r="E11" s="770"/>
      <c r="F11" s="770"/>
      <c r="G11" s="469" t="s">
        <v>181</v>
      </c>
      <c r="H11" s="507">
        <f>I11*12</f>
        <v>1847.7887999999998</v>
      </c>
      <c r="I11" s="507">
        <f>'поточ рем. констр.ел '!I10*розрахунок!D13/100</f>
        <v>153.98239999999998</v>
      </c>
    </row>
    <row r="12" spans="1:10" x14ac:dyDescent="0.3">
      <c r="A12" s="1448" t="s">
        <v>504</v>
      </c>
      <c r="B12" s="1448"/>
      <c r="C12" s="1448"/>
      <c r="D12" s="1448"/>
      <c r="E12" s="770"/>
      <c r="F12" s="770"/>
      <c r="G12" s="469" t="s">
        <v>181</v>
      </c>
      <c r="H12" s="507">
        <f>I12*12</f>
        <v>7753.7634637689471</v>
      </c>
      <c r="I12" s="507">
        <f>I24</f>
        <v>646.14695531407892</v>
      </c>
    </row>
    <row r="13" spans="1:10" x14ac:dyDescent="0.3">
      <c r="A13" s="1448" t="s">
        <v>642</v>
      </c>
      <c r="B13" s="1448"/>
      <c r="C13" s="1448"/>
      <c r="D13" s="1448"/>
      <c r="E13" s="770"/>
      <c r="F13" s="770"/>
      <c r="G13" s="469" t="s">
        <v>181</v>
      </c>
      <c r="H13" s="507">
        <f>G33</f>
        <v>7136</v>
      </c>
      <c r="I13" s="507">
        <f>H13/12</f>
        <v>594.66666666666663</v>
      </c>
    </row>
    <row r="14" spans="1:10" x14ac:dyDescent="0.3">
      <c r="A14" s="1463" t="s">
        <v>671</v>
      </c>
      <c r="B14" s="1141"/>
      <c r="C14" s="1141"/>
      <c r="D14" s="1141"/>
      <c r="E14" s="770"/>
      <c r="F14" s="770"/>
      <c r="G14" s="469" t="s">
        <v>181</v>
      </c>
      <c r="H14" s="485">
        <f>I33</f>
        <v>0</v>
      </c>
      <c r="I14" s="508">
        <f>H14/12</f>
        <v>0</v>
      </c>
    </row>
    <row r="15" spans="1:10" x14ac:dyDescent="0.3">
      <c r="A15" s="1280" t="s">
        <v>669</v>
      </c>
      <c r="B15" s="717"/>
      <c r="C15" s="717"/>
      <c r="D15" s="717"/>
      <c r="E15" s="717"/>
      <c r="F15" s="718"/>
      <c r="G15" s="220" t="s">
        <v>181</v>
      </c>
      <c r="H15" s="509">
        <f>SUM(H10:H14)</f>
        <v>25136.552263768946</v>
      </c>
      <c r="I15" s="510">
        <f>SUM(I10:I14)</f>
        <v>2094.7160219807456</v>
      </c>
    </row>
    <row r="16" spans="1:10" ht="14.4" customHeight="1" x14ac:dyDescent="0.3">
      <c r="A16" s="1436" t="s">
        <v>123</v>
      </c>
      <c r="B16" s="1464"/>
      <c r="C16" s="1464"/>
      <c r="D16" s="1464"/>
      <c r="E16" s="1464"/>
      <c r="F16" s="1465"/>
      <c r="G16" s="220" t="s">
        <v>181</v>
      </c>
      <c r="H16" s="1466">
        <f>Характеристика!N18</f>
        <v>2941.7</v>
      </c>
      <c r="I16" s="1203"/>
    </row>
    <row r="17" spans="1:9" x14ac:dyDescent="0.3">
      <c r="A17" s="1224" t="s">
        <v>502</v>
      </c>
      <c r="B17" s="1224"/>
      <c r="C17" s="1224"/>
      <c r="D17" s="1224"/>
      <c r="E17" s="770"/>
      <c r="F17" s="770"/>
      <c r="G17" s="220" t="s">
        <v>181</v>
      </c>
      <c r="H17" s="1467">
        <f>I15/H16</f>
        <v>0.71207669782124139</v>
      </c>
      <c r="I17" s="1382"/>
    </row>
    <row r="18" spans="1:9" x14ac:dyDescent="0.3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3">
      <c r="A19" s="511"/>
      <c r="B19" s="1462" t="s">
        <v>672</v>
      </c>
      <c r="C19" s="1395"/>
      <c r="D19" s="1395"/>
      <c r="E19" s="1395"/>
      <c r="F19" s="1395"/>
      <c r="G19" s="1395"/>
      <c r="H19" s="1395"/>
      <c r="I19" s="1395"/>
    </row>
    <row r="20" spans="1:9" ht="60" x14ac:dyDescent="0.3">
      <c r="A20" s="1167" t="s">
        <v>277</v>
      </c>
      <c r="B20" s="1286"/>
      <c r="C20" s="1167" t="s">
        <v>278</v>
      </c>
      <c r="D20" s="1286"/>
      <c r="E20" s="1167" t="s">
        <v>673</v>
      </c>
      <c r="F20" s="1286"/>
      <c r="G20" s="231" t="s">
        <v>280</v>
      </c>
      <c r="H20" s="232" t="s">
        <v>674</v>
      </c>
      <c r="I20" s="231" t="s">
        <v>675</v>
      </c>
    </row>
    <row r="21" spans="1:9" x14ac:dyDescent="0.3">
      <c r="A21" s="1167">
        <v>1</v>
      </c>
      <c r="B21" s="1284"/>
      <c r="C21" s="1167">
        <v>2</v>
      </c>
      <c r="D21" s="1286"/>
      <c r="E21" s="1167">
        <v>3</v>
      </c>
      <c r="F21" s="1286"/>
      <c r="G21" s="232">
        <v>4</v>
      </c>
      <c r="H21" s="232">
        <v>5</v>
      </c>
      <c r="I21" s="231">
        <v>6</v>
      </c>
    </row>
    <row r="22" spans="1:9" ht="33.6" customHeight="1" x14ac:dyDescent="0.3">
      <c r="A22" s="1385" t="s">
        <v>283</v>
      </c>
      <c r="B22" s="1386"/>
      <c r="C22" s="1252">
        <f>прибирання!C49</f>
        <v>1782768</v>
      </c>
      <c r="D22" s="1155"/>
      <c r="E22" s="1157">
        <f>прибирання!D49</f>
        <v>4193729</v>
      </c>
      <c r="F22" s="1157"/>
      <c r="G22" s="464">
        <f>C22/E22*100</f>
        <v>42.51032911282536</v>
      </c>
      <c r="H22" s="480">
        <f>I10</f>
        <v>699.92</v>
      </c>
      <c r="I22" s="243">
        <f>G22*H22/100</f>
        <v>297.53829552648722</v>
      </c>
    </row>
    <row r="23" spans="1:9" ht="33" customHeight="1" x14ac:dyDescent="0.3">
      <c r="A23" s="1385" t="s">
        <v>284</v>
      </c>
      <c r="B23" s="1386"/>
      <c r="C23" s="1252">
        <f>прибирання!C50</f>
        <v>2914645</v>
      </c>
      <c r="D23" s="1155"/>
      <c r="E23" s="1157">
        <f>прибирання!D50</f>
        <v>14598843</v>
      </c>
      <c r="F23" s="1157"/>
      <c r="G23" s="464">
        <f>C23/E23*100</f>
        <v>19.964904068082657</v>
      </c>
      <c r="H23" s="480">
        <f>I10+I11+I13+I14+I22</f>
        <v>1746.1073621931537</v>
      </c>
      <c r="I23" s="243">
        <f>G23*H23/100</f>
        <v>348.60865978759171</v>
      </c>
    </row>
    <row r="24" spans="1:9" ht="24.6" customHeight="1" x14ac:dyDescent="0.3">
      <c r="A24" s="1391" t="s">
        <v>285</v>
      </c>
      <c r="B24" s="1392"/>
      <c r="C24" s="1254"/>
      <c r="D24" s="1158"/>
      <c r="E24" s="1160"/>
      <c r="F24" s="1160"/>
      <c r="G24" s="465"/>
      <c r="H24" s="481"/>
      <c r="I24" s="406">
        <f>SUM(I22:I23)</f>
        <v>646.14695531407892</v>
      </c>
    </row>
    <row r="25" spans="1:9" x14ac:dyDescent="0.3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3">
      <c r="A26" s="1460" t="s">
        <v>676</v>
      </c>
      <c r="B26" s="1460"/>
      <c r="C26" s="1460"/>
      <c r="D26" s="1460"/>
      <c r="E26" s="1460"/>
      <c r="F26" s="1460"/>
      <c r="G26" s="1460"/>
      <c r="H26" s="812"/>
      <c r="I26" s="812"/>
    </row>
    <row r="27" spans="1:9" x14ac:dyDescent="0.3">
      <c r="A27" s="512"/>
      <c r="B27" s="512"/>
      <c r="C27" s="512"/>
      <c r="D27" s="512"/>
      <c r="E27" s="512"/>
      <c r="F27" s="512"/>
      <c r="G27" s="512"/>
      <c r="H27" s="475"/>
      <c r="I27" s="475"/>
    </row>
    <row r="28" spans="1:9" ht="52.8" x14ac:dyDescent="0.3">
      <c r="A28" s="184" t="s">
        <v>216</v>
      </c>
      <c r="B28" s="1317" t="s">
        <v>677</v>
      </c>
      <c r="C28" s="1442"/>
      <c r="D28" s="1443"/>
      <c r="E28" s="184" t="s">
        <v>218</v>
      </c>
      <c r="F28" s="184" t="s">
        <v>678</v>
      </c>
      <c r="G28" s="479" t="s">
        <v>679</v>
      </c>
      <c r="H28" s="513"/>
      <c r="I28" s="514"/>
    </row>
    <row r="29" spans="1:9" x14ac:dyDescent="0.3">
      <c r="A29" s="515">
        <v>1</v>
      </c>
      <c r="B29" s="1461">
        <v>2</v>
      </c>
      <c r="C29" s="1287"/>
      <c r="D29" s="1287"/>
      <c r="E29" s="515">
        <v>3</v>
      </c>
      <c r="F29" s="515">
        <v>4</v>
      </c>
      <c r="G29" s="516">
        <v>5</v>
      </c>
      <c r="H29" s="517"/>
      <c r="I29" s="518"/>
    </row>
    <row r="30" spans="1:9" x14ac:dyDescent="0.3">
      <c r="A30" s="515">
        <v>1</v>
      </c>
      <c r="B30" s="1456" t="s">
        <v>942</v>
      </c>
      <c r="C30" s="1442"/>
      <c r="D30" s="1443"/>
      <c r="E30" s="519" t="s">
        <v>181</v>
      </c>
      <c r="F30" s="520">
        <v>8399</v>
      </c>
      <c r="G30" s="521">
        <v>7136</v>
      </c>
      <c r="H30" s="522"/>
      <c r="I30" s="523"/>
    </row>
    <row r="31" spans="1:9" x14ac:dyDescent="0.3">
      <c r="A31" s="515">
        <v>2</v>
      </c>
      <c r="B31" s="1457"/>
      <c r="C31" s="1407"/>
      <c r="D31" s="1408"/>
      <c r="E31" s="524" t="s">
        <v>181</v>
      </c>
      <c r="F31" s="520"/>
      <c r="G31" s="521"/>
      <c r="H31" s="525"/>
      <c r="I31" s="526"/>
    </row>
    <row r="32" spans="1:9" x14ac:dyDescent="0.3">
      <c r="A32" s="527">
        <v>3</v>
      </c>
      <c r="B32" s="1458"/>
      <c r="C32" s="1400"/>
      <c r="D32" s="1401"/>
      <c r="E32" s="524" t="s">
        <v>181</v>
      </c>
      <c r="F32" s="520"/>
      <c r="G32" s="521"/>
      <c r="H32" s="525"/>
      <c r="I32" s="526"/>
    </row>
    <row r="33" spans="1:9" x14ac:dyDescent="0.3">
      <c r="A33" s="528"/>
      <c r="B33" s="1459" t="s">
        <v>222</v>
      </c>
      <c r="C33" s="1407"/>
      <c r="D33" s="1408"/>
      <c r="E33" s="529"/>
      <c r="F33" s="530">
        <f>SUM(F30:F32)</f>
        <v>8399</v>
      </c>
      <c r="G33" s="530">
        <f>SUM(G30:G32)</f>
        <v>7136</v>
      </c>
      <c r="H33" s="531"/>
      <c r="I33" s="532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13" zoomScale="60" zoomScaleNormal="100" workbookViewId="0">
      <selection activeCell="F31" sqref="F31"/>
    </sheetView>
  </sheetViews>
  <sheetFormatPr defaultRowHeight="14.4" x14ac:dyDescent="0.3"/>
  <cols>
    <col min="6" max="6" width="8.6640625" customWidth="1"/>
    <col min="7" max="7" width="10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КанівШевченка21</v>
      </c>
      <c r="F1" s="1246" t="s">
        <v>214</v>
      </c>
      <c r="G1" s="1246"/>
      <c r="H1" s="1246"/>
      <c r="I1" s="1246"/>
    </row>
    <row r="2" spans="1:10" x14ac:dyDescent="0.3">
      <c r="F2" s="1246" t="s">
        <v>108</v>
      </c>
      <c r="G2" s="1246"/>
      <c r="H2" s="1246"/>
      <c r="I2" s="1246"/>
    </row>
    <row r="3" spans="1:10" x14ac:dyDescent="0.3">
      <c r="F3" s="1247" t="s">
        <v>638</v>
      </c>
      <c r="G3" s="1247"/>
      <c r="H3" s="1247"/>
      <c r="I3" s="1247"/>
    </row>
    <row r="4" spans="1:10" x14ac:dyDescent="0.3">
      <c r="F4" s="252"/>
      <c r="G4" s="253"/>
      <c r="H4" s="1248" t="s">
        <v>296</v>
      </c>
      <c r="I4" s="1248"/>
    </row>
    <row r="6" spans="1:10" x14ac:dyDescent="0.3">
      <c r="A6" s="1249" t="s">
        <v>300</v>
      </c>
      <c r="B6" s="1249"/>
      <c r="C6" s="1249"/>
      <c r="D6" s="1249"/>
      <c r="E6" s="1249"/>
      <c r="F6" s="1249"/>
      <c r="G6" s="1249"/>
      <c r="H6" s="1249"/>
      <c r="I6" s="1249"/>
      <c r="J6" s="533"/>
    </row>
    <row r="7" spans="1:10" ht="40.200000000000003" customHeight="1" x14ac:dyDescent="0.3">
      <c r="A7" s="1469" t="s">
        <v>943</v>
      </c>
      <c r="B7" s="1469"/>
      <c r="C7" s="1469"/>
      <c r="D7" s="1469"/>
      <c r="E7" s="1469"/>
      <c r="F7" s="1469"/>
      <c r="G7" s="1469"/>
      <c r="H7" s="1469"/>
      <c r="I7" s="1469"/>
    </row>
    <row r="9" spans="1:10" ht="27" x14ac:dyDescent="0.3">
      <c r="A9" s="1447" t="s">
        <v>670</v>
      </c>
      <c r="B9" s="1447"/>
      <c r="C9" s="1447"/>
      <c r="D9" s="1447"/>
      <c r="E9" s="770"/>
      <c r="F9" s="770"/>
      <c r="G9" s="487" t="s">
        <v>218</v>
      </c>
      <c r="H9" s="184" t="s">
        <v>219</v>
      </c>
      <c r="I9" s="184" t="s">
        <v>493</v>
      </c>
    </row>
    <row r="10" spans="1:10" ht="29.4" customHeight="1" x14ac:dyDescent="0.3">
      <c r="A10" s="1448" t="s">
        <v>682</v>
      </c>
      <c r="B10" s="1448"/>
      <c r="C10" s="1448"/>
      <c r="D10" s="1448"/>
      <c r="E10" s="770"/>
      <c r="F10" s="770"/>
      <c r="G10" s="469" t="s">
        <v>181</v>
      </c>
      <c r="H10" s="507">
        <f>F33</f>
        <v>8945</v>
      </c>
      <c r="I10" s="507">
        <f>ROUND(H10/12,2)</f>
        <v>745.42</v>
      </c>
    </row>
    <row r="11" spans="1:10" ht="28.2" customHeight="1" x14ac:dyDescent="0.3">
      <c r="A11" s="1448" t="s">
        <v>304</v>
      </c>
      <c r="B11" s="1448"/>
      <c r="C11" s="1448"/>
      <c r="D11" s="1448"/>
      <c r="E11" s="770"/>
      <c r="F11" s="770"/>
      <c r="G11" s="469" t="s">
        <v>181</v>
      </c>
      <c r="H11" s="507">
        <f>I11*12</f>
        <v>1967.9087999999997</v>
      </c>
      <c r="I11" s="507">
        <f>'поточ рем. внутр.б.мереж'!I10*розрахунок!D13/100</f>
        <v>163.99239999999998</v>
      </c>
    </row>
    <row r="12" spans="1:10" x14ac:dyDescent="0.3">
      <c r="A12" s="1448" t="s">
        <v>504</v>
      </c>
      <c r="B12" s="1448"/>
      <c r="C12" s="1448"/>
      <c r="D12" s="1448"/>
      <c r="E12" s="770"/>
      <c r="F12" s="770"/>
      <c r="G12" s="469" t="s">
        <v>181</v>
      </c>
      <c r="H12" s="507">
        <f>I12*12</f>
        <v>9135.4942369002583</v>
      </c>
      <c r="I12" s="507">
        <f>I24</f>
        <v>761.29118640835486</v>
      </c>
    </row>
    <row r="13" spans="1:10" x14ac:dyDescent="0.3">
      <c r="A13" s="1448" t="s">
        <v>642</v>
      </c>
      <c r="B13" s="1448"/>
      <c r="C13" s="1448"/>
      <c r="D13" s="1448"/>
      <c r="E13" s="770"/>
      <c r="F13" s="770"/>
      <c r="G13" s="469" t="s">
        <v>181</v>
      </c>
      <c r="H13" s="507">
        <f>G33</f>
        <v>11996</v>
      </c>
      <c r="I13" s="507">
        <f>H13/12</f>
        <v>999.66666666666663</v>
      </c>
    </row>
    <row r="14" spans="1:10" x14ac:dyDescent="0.3">
      <c r="A14" s="1463" t="s">
        <v>671</v>
      </c>
      <c r="B14" s="1141"/>
      <c r="C14" s="1141"/>
      <c r="D14" s="1141"/>
      <c r="E14" s="770"/>
      <c r="F14" s="770"/>
      <c r="G14" s="469" t="s">
        <v>181</v>
      </c>
      <c r="H14" s="485">
        <f>I33</f>
        <v>0</v>
      </c>
      <c r="I14" s="508">
        <f>H14/12</f>
        <v>0</v>
      </c>
    </row>
    <row r="15" spans="1:10" x14ac:dyDescent="0.3">
      <c r="A15" s="1280" t="s">
        <v>669</v>
      </c>
      <c r="B15" s="717"/>
      <c r="C15" s="717"/>
      <c r="D15" s="717"/>
      <c r="E15" s="717"/>
      <c r="F15" s="718"/>
      <c r="G15" s="220" t="s">
        <v>181</v>
      </c>
      <c r="H15" s="509">
        <f>SUM(H10:H14)</f>
        <v>32044.403036900258</v>
      </c>
      <c r="I15" s="510">
        <f>SUM(I10:I14)</f>
        <v>2670.3702530750215</v>
      </c>
    </row>
    <row r="16" spans="1:10" ht="14.4" customHeight="1" x14ac:dyDescent="0.3">
      <c r="A16" s="1436" t="s">
        <v>123</v>
      </c>
      <c r="B16" s="1464"/>
      <c r="C16" s="1464"/>
      <c r="D16" s="1464"/>
      <c r="E16" s="1464"/>
      <c r="F16" s="1465"/>
      <c r="G16" s="220" t="s">
        <v>181</v>
      </c>
      <c r="H16" s="1466">
        <f>Характеристика!N18</f>
        <v>2941.7</v>
      </c>
      <c r="I16" s="1203"/>
    </row>
    <row r="17" spans="1:9" x14ac:dyDescent="0.3">
      <c r="A17" s="1224" t="s">
        <v>502</v>
      </c>
      <c r="B17" s="1224"/>
      <c r="C17" s="1224"/>
      <c r="D17" s="1224"/>
      <c r="E17" s="770"/>
      <c r="F17" s="770"/>
      <c r="G17" s="220" t="s">
        <v>181</v>
      </c>
      <c r="H17" s="1467">
        <f>I15/H16</f>
        <v>0.90776430399939545</v>
      </c>
      <c r="I17" s="1382"/>
    </row>
    <row r="18" spans="1:9" x14ac:dyDescent="0.3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3">
      <c r="A19" s="511"/>
      <c r="B19" s="1462" t="s">
        <v>672</v>
      </c>
      <c r="C19" s="1395"/>
      <c r="D19" s="1395"/>
      <c r="E19" s="1395"/>
      <c r="F19" s="1395"/>
      <c r="G19" s="1395"/>
      <c r="H19" s="1395"/>
      <c r="I19" s="1395"/>
    </row>
    <row r="20" spans="1:9" ht="60" x14ac:dyDescent="0.3">
      <c r="A20" s="1167" t="s">
        <v>277</v>
      </c>
      <c r="B20" s="1286"/>
      <c r="C20" s="1167" t="s">
        <v>278</v>
      </c>
      <c r="D20" s="1286"/>
      <c r="E20" s="1167" t="s">
        <v>673</v>
      </c>
      <c r="F20" s="1286"/>
      <c r="G20" s="231" t="s">
        <v>280</v>
      </c>
      <c r="H20" s="232" t="s">
        <v>674</v>
      </c>
      <c r="I20" s="231" t="s">
        <v>675</v>
      </c>
    </row>
    <row r="21" spans="1:9" x14ac:dyDescent="0.3">
      <c r="A21" s="1167">
        <v>1</v>
      </c>
      <c r="B21" s="1284"/>
      <c r="C21" s="1167">
        <v>2</v>
      </c>
      <c r="D21" s="1286"/>
      <c r="E21" s="1167">
        <v>3</v>
      </c>
      <c r="F21" s="1286"/>
      <c r="G21" s="232">
        <v>4</v>
      </c>
      <c r="H21" s="232">
        <v>5</v>
      </c>
      <c r="I21" s="231">
        <v>6</v>
      </c>
    </row>
    <row r="22" spans="1:9" ht="33.6" customHeight="1" x14ac:dyDescent="0.3">
      <c r="A22" s="1385" t="s">
        <v>283</v>
      </c>
      <c r="B22" s="1386"/>
      <c r="C22" s="1252">
        <f>прибирання!C49</f>
        <v>1782768</v>
      </c>
      <c r="D22" s="1155"/>
      <c r="E22" s="1157">
        <f>прибирання!D49</f>
        <v>4193729</v>
      </c>
      <c r="F22" s="1157"/>
      <c r="G22" s="464">
        <f>C22/E22*100</f>
        <v>42.51032911282536</v>
      </c>
      <c r="H22" s="480">
        <f>I10</f>
        <v>745.42</v>
      </c>
      <c r="I22" s="243">
        <f>G22*H22/100</f>
        <v>316.88049527282277</v>
      </c>
    </row>
    <row r="23" spans="1:9" ht="33" customHeight="1" x14ac:dyDescent="0.3">
      <c r="A23" s="1385" t="s">
        <v>284</v>
      </c>
      <c r="B23" s="1386"/>
      <c r="C23" s="1252">
        <f>прибирання!C50</f>
        <v>2914645</v>
      </c>
      <c r="D23" s="1155"/>
      <c r="E23" s="1157">
        <f>прибирання!D50</f>
        <v>14598843</v>
      </c>
      <c r="F23" s="1157"/>
      <c r="G23" s="464">
        <f>C23/E23*100</f>
        <v>19.964904068082657</v>
      </c>
      <c r="H23" s="480">
        <f>I10+I11+I13+I14+I22</f>
        <v>2225.9595619394895</v>
      </c>
      <c r="I23" s="243">
        <f>G23*H23/100</f>
        <v>444.41069113553203</v>
      </c>
    </row>
    <row r="24" spans="1:9" ht="24.6" customHeight="1" x14ac:dyDescent="0.3">
      <c r="A24" s="1391" t="s">
        <v>285</v>
      </c>
      <c r="B24" s="1392"/>
      <c r="C24" s="1254"/>
      <c r="D24" s="1158"/>
      <c r="E24" s="1160"/>
      <c r="F24" s="1160"/>
      <c r="G24" s="465"/>
      <c r="H24" s="481"/>
      <c r="I24" s="406">
        <f>SUM(I22:I23)</f>
        <v>761.29118640835486</v>
      </c>
    </row>
    <row r="25" spans="1:9" x14ac:dyDescent="0.3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3">
      <c r="A26" s="1460" t="s">
        <v>676</v>
      </c>
      <c r="B26" s="1460"/>
      <c r="C26" s="1460"/>
      <c r="D26" s="1460"/>
      <c r="E26" s="1460"/>
      <c r="F26" s="1460"/>
      <c r="G26" s="1460"/>
      <c r="H26" s="812"/>
      <c r="I26" s="812"/>
    </row>
    <row r="27" spans="1:9" x14ac:dyDescent="0.3">
      <c r="A27" s="512"/>
      <c r="B27" s="512"/>
      <c r="C27" s="512"/>
      <c r="D27" s="512"/>
      <c r="E27" s="512"/>
      <c r="F27" s="512"/>
      <c r="G27" s="512"/>
      <c r="H27" s="475"/>
      <c r="I27" s="475"/>
    </row>
    <row r="28" spans="1:9" ht="52.8" x14ac:dyDescent="0.3">
      <c r="A28" s="184" t="s">
        <v>216</v>
      </c>
      <c r="B28" s="1317" t="s">
        <v>677</v>
      </c>
      <c r="C28" s="1442"/>
      <c r="D28" s="1443"/>
      <c r="E28" s="184" t="s">
        <v>218</v>
      </c>
      <c r="F28" s="184" t="s">
        <v>678</v>
      </c>
      <c r="G28" s="479" t="s">
        <v>679</v>
      </c>
      <c r="H28" s="513"/>
      <c r="I28" s="514"/>
    </row>
    <row r="29" spans="1:9" x14ac:dyDescent="0.3">
      <c r="A29" s="515">
        <v>1</v>
      </c>
      <c r="B29" s="1461">
        <v>2</v>
      </c>
      <c r="C29" s="1287"/>
      <c r="D29" s="1287"/>
      <c r="E29" s="515">
        <v>3</v>
      </c>
      <c r="F29" s="515">
        <v>4</v>
      </c>
      <c r="G29" s="516">
        <v>5</v>
      </c>
      <c r="H29" s="517"/>
      <c r="I29" s="518"/>
    </row>
    <row r="30" spans="1:9" x14ac:dyDescent="0.3">
      <c r="A30" s="515">
        <v>1</v>
      </c>
      <c r="B30" s="1456" t="s">
        <v>917</v>
      </c>
      <c r="C30" s="1442"/>
      <c r="D30" s="1443"/>
      <c r="E30" s="519" t="s">
        <v>181</v>
      </c>
      <c r="F30" s="520">
        <v>5445</v>
      </c>
      <c r="G30" s="521">
        <v>9496</v>
      </c>
      <c r="H30" s="522"/>
      <c r="I30" s="523"/>
    </row>
    <row r="31" spans="1:9" x14ac:dyDescent="0.3">
      <c r="A31" s="515">
        <v>2</v>
      </c>
      <c r="B31" s="1457" t="s">
        <v>942</v>
      </c>
      <c r="C31" s="1407"/>
      <c r="D31" s="1408"/>
      <c r="E31" s="524" t="s">
        <v>181</v>
      </c>
      <c r="F31" s="520">
        <v>3500</v>
      </c>
      <c r="G31" s="521">
        <v>2500</v>
      </c>
      <c r="H31" s="525"/>
      <c r="I31" s="526"/>
    </row>
    <row r="32" spans="1:9" x14ac:dyDescent="0.3">
      <c r="A32" s="527">
        <v>3</v>
      </c>
      <c r="B32" s="1458"/>
      <c r="C32" s="1400"/>
      <c r="D32" s="1401"/>
      <c r="E32" s="524" t="s">
        <v>181</v>
      </c>
      <c r="F32" s="520"/>
      <c r="G32" s="521"/>
      <c r="H32" s="525"/>
      <c r="I32" s="526"/>
    </row>
    <row r="33" spans="1:9" x14ac:dyDescent="0.3">
      <c r="A33" s="528"/>
      <c r="B33" s="1459" t="s">
        <v>222</v>
      </c>
      <c r="C33" s="1407"/>
      <c r="D33" s="1408"/>
      <c r="E33" s="529"/>
      <c r="F33" s="530">
        <f>SUM(F30:F32)</f>
        <v>8945</v>
      </c>
      <c r="G33" s="530">
        <f>SUM(G30:G32)</f>
        <v>11996</v>
      </c>
      <c r="H33" s="531"/>
      <c r="I33" s="532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G18" sqref="G18:J18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КанівШевченка21</v>
      </c>
      <c r="G1" s="1246" t="s">
        <v>214</v>
      </c>
      <c r="H1" s="1246"/>
      <c r="I1" s="1246"/>
      <c r="J1" s="1246"/>
    </row>
    <row r="2" spans="1:10" x14ac:dyDescent="0.3">
      <c r="G2" s="1246" t="s">
        <v>108</v>
      </c>
      <c r="H2" s="1246"/>
      <c r="I2" s="1246"/>
      <c r="J2" s="1246"/>
    </row>
    <row r="3" spans="1:10" x14ac:dyDescent="0.3">
      <c r="G3" s="1247" t="s">
        <v>638</v>
      </c>
      <c r="H3" s="1247"/>
      <c r="I3" s="1247"/>
      <c r="J3" s="1247"/>
    </row>
    <row r="4" spans="1:10" x14ac:dyDescent="0.3">
      <c r="G4" s="252"/>
      <c r="H4" s="253"/>
      <c r="I4" s="1248" t="s">
        <v>296</v>
      </c>
      <c r="J4" s="1248"/>
    </row>
    <row r="6" spans="1:10" x14ac:dyDescent="0.3">
      <c r="A6" s="1249" t="s">
        <v>300</v>
      </c>
      <c r="B6" s="1249"/>
      <c r="C6" s="1249"/>
      <c r="D6" s="1249"/>
      <c r="E6" s="1249"/>
      <c r="F6" s="1249"/>
      <c r="G6" s="1249"/>
      <c r="H6" s="1249"/>
      <c r="I6" s="1249"/>
      <c r="J6" s="1249"/>
    </row>
    <row r="7" spans="1:10" x14ac:dyDescent="0.3">
      <c r="A7" s="1470" t="s">
        <v>697</v>
      </c>
      <c r="B7" s="1471"/>
      <c r="C7" s="1471"/>
      <c r="D7" s="1471"/>
      <c r="E7" s="1471"/>
      <c r="F7" s="1471"/>
      <c r="G7" s="1471"/>
      <c r="H7" s="1471"/>
      <c r="I7" s="1471"/>
      <c r="J7" s="1471"/>
    </row>
    <row r="8" spans="1:10" x14ac:dyDescent="0.3">
      <c r="A8" s="562"/>
      <c r="B8" s="563"/>
      <c r="C8" s="563"/>
      <c r="D8" s="563"/>
      <c r="E8" s="563"/>
      <c r="F8" s="563"/>
      <c r="G8" s="563"/>
      <c r="H8" s="563"/>
      <c r="I8" s="563"/>
      <c r="J8" s="563"/>
    </row>
    <row r="9" spans="1:10" x14ac:dyDescent="0.3">
      <c r="A9" s="244" t="s">
        <v>698</v>
      </c>
    </row>
    <row r="10" spans="1:10" ht="26.4" x14ac:dyDescent="0.3">
      <c r="A10" s="184" t="s">
        <v>230</v>
      </c>
      <c r="B10" s="1242" t="s">
        <v>217</v>
      </c>
      <c r="C10" s="1520"/>
      <c r="D10" s="1520"/>
      <c r="E10" s="1520"/>
      <c r="F10" s="184" t="s">
        <v>218</v>
      </c>
      <c r="G10" s="1242" t="s">
        <v>219</v>
      </c>
      <c r="H10" s="1520"/>
      <c r="I10" s="1242" t="s">
        <v>505</v>
      </c>
      <c r="J10" s="1521"/>
    </row>
    <row r="11" spans="1:10" ht="18.600000000000001" customHeight="1" x14ac:dyDescent="0.3">
      <c r="A11" s="184">
        <v>1</v>
      </c>
      <c r="B11" s="1230" t="s">
        <v>699</v>
      </c>
      <c r="C11" s="841"/>
      <c r="D11" s="841"/>
      <c r="E11" s="841"/>
      <c r="F11" s="261" t="s">
        <v>181</v>
      </c>
      <c r="G11" s="1232">
        <f>I11*12</f>
        <v>0</v>
      </c>
      <c r="H11" s="1516"/>
      <c r="I11" s="1232">
        <f>I68</f>
        <v>0</v>
      </c>
      <c r="J11" s="1517"/>
    </row>
    <row r="12" spans="1:10" ht="38.4" customHeight="1" x14ac:dyDescent="0.3">
      <c r="A12" s="184">
        <v>2</v>
      </c>
      <c r="B12" s="1240" t="s">
        <v>304</v>
      </c>
      <c r="C12" s="1519"/>
      <c r="D12" s="1519"/>
      <c r="E12" s="1519"/>
      <c r="F12" s="261" t="s">
        <v>181</v>
      </c>
      <c r="G12" s="1232">
        <f>I12*12</f>
        <v>0</v>
      </c>
      <c r="H12" s="1516"/>
      <c r="I12" s="1232">
        <f>I11*розрахунок!D13/100</f>
        <v>0</v>
      </c>
      <c r="J12" s="1517"/>
    </row>
    <row r="13" spans="1:10" x14ac:dyDescent="0.3">
      <c r="A13" s="184">
        <v>3</v>
      </c>
      <c r="B13" s="1230" t="s">
        <v>504</v>
      </c>
      <c r="C13" s="1515"/>
      <c r="D13" s="1515"/>
      <c r="E13" s="1515"/>
      <c r="F13" s="261" t="s">
        <v>181</v>
      </c>
      <c r="G13" s="1232">
        <f>I13*12</f>
        <v>0</v>
      </c>
      <c r="H13" s="1516"/>
      <c r="I13" s="1232">
        <f>I75</f>
        <v>0</v>
      </c>
      <c r="J13" s="1517"/>
    </row>
    <row r="14" spans="1:10" x14ac:dyDescent="0.3">
      <c r="A14" s="184">
        <v>4</v>
      </c>
      <c r="B14" s="1230" t="s">
        <v>642</v>
      </c>
      <c r="C14" s="1515"/>
      <c r="D14" s="1515"/>
      <c r="E14" s="1515"/>
      <c r="F14" s="261" t="s">
        <v>181</v>
      </c>
      <c r="G14" s="1232">
        <f>I14*12</f>
        <v>0</v>
      </c>
      <c r="H14" s="1516"/>
      <c r="I14" s="1232">
        <f>інвентар!I9</f>
        <v>0</v>
      </c>
      <c r="J14" s="1517"/>
    </row>
    <row r="15" spans="1:10" x14ac:dyDescent="0.3">
      <c r="A15" s="184">
        <v>5</v>
      </c>
      <c r="B15" s="1230" t="s">
        <v>491</v>
      </c>
      <c r="C15" s="1515"/>
      <c r="D15" s="1515"/>
      <c r="E15" s="1515"/>
      <c r="F15" s="261" t="s">
        <v>181</v>
      </c>
      <c r="G15" s="1232">
        <f>I15*12</f>
        <v>0</v>
      </c>
      <c r="H15" s="1516"/>
      <c r="I15" s="1234">
        <v>0</v>
      </c>
      <c r="J15" s="1518"/>
    </row>
    <row r="16" spans="1:10" x14ac:dyDescent="0.3">
      <c r="A16" s="184">
        <v>6</v>
      </c>
      <c r="B16" s="1512" t="s">
        <v>669</v>
      </c>
      <c r="C16" s="1513"/>
      <c r="D16" s="1513"/>
      <c r="E16" s="1513"/>
      <c r="F16" s="184" t="s">
        <v>181</v>
      </c>
      <c r="G16" s="1236">
        <f>SUM(G11:G15)</f>
        <v>0</v>
      </c>
      <c r="H16" s="1237"/>
      <c r="I16" s="1220">
        <f>SUM(I11:I15)</f>
        <v>0</v>
      </c>
      <c r="J16" s="1514"/>
    </row>
    <row r="17" spans="1:10" ht="19.8" customHeight="1" x14ac:dyDescent="0.3">
      <c r="A17" s="184">
        <v>7</v>
      </c>
      <c r="B17" s="1509" t="s">
        <v>123</v>
      </c>
      <c r="C17" s="1510"/>
      <c r="D17" s="1510"/>
      <c r="E17" s="1511"/>
      <c r="F17" s="184" t="s">
        <v>223</v>
      </c>
      <c r="G17" s="1220">
        <f>Характеристика!N18</f>
        <v>2941.7</v>
      </c>
      <c r="H17" s="1502"/>
      <c r="I17" s="1503"/>
      <c r="J17" s="1504"/>
    </row>
    <row r="18" spans="1:10" x14ac:dyDescent="0.3">
      <c r="A18" s="534">
        <v>8</v>
      </c>
      <c r="B18" s="1223" t="s">
        <v>502</v>
      </c>
      <c r="C18" s="1224"/>
      <c r="D18" s="1224"/>
      <c r="E18" s="1224"/>
      <c r="F18" s="534" t="s">
        <v>181</v>
      </c>
      <c r="G18" s="1505">
        <f>I16/G17</f>
        <v>0</v>
      </c>
      <c r="H18" s="1506"/>
      <c r="I18" s="1507"/>
      <c r="J18" s="1508"/>
    </row>
    <row r="19" spans="1:10" x14ac:dyDescent="0.3">
      <c r="A19" s="535"/>
      <c r="B19" s="536"/>
      <c r="C19" s="142"/>
      <c r="D19" s="142"/>
      <c r="E19" s="142"/>
      <c r="F19" s="535"/>
      <c r="G19" s="537"/>
      <c r="H19" s="537"/>
      <c r="I19" s="538"/>
      <c r="J19" s="538"/>
    </row>
    <row r="20" spans="1:10" x14ac:dyDescent="0.3">
      <c r="A20" s="1499" t="s">
        <v>683</v>
      </c>
      <c r="B20" s="1500"/>
      <c r="C20" s="1500"/>
      <c r="D20" s="1500"/>
      <c r="E20" s="1500"/>
      <c r="F20" s="1500"/>
      <c r="G20" s="1500"/>
      <c r="H20" s="1500"/>
      <c r="I20" s="1500"/>
      <c r="J20" s="1500"/>
    </row>
    <row r="21" spans="1:10" ht="55.2" customHeight="1" x14ac:dyDescent="0.3">
      <c r="A21" s="1199" t="s">
        <v>684</v>
      </c>
      <c r="B21" s="1501"/>
      <c r="C21" s="1501"/>
      <c r="D21" s="1501"/>
      <c r="E21" s="1501"/>
      <c r="F21" s="1501"/>
      <c r="G21" s="1501"/>
      <c r="H21" s="1501"/>
      <c r="I21" s="1501"/>
      <c r="J21" s="1501"/>
    </row>
    <row r="22" spans="1:10" ht="33.6" customHeight="1" x14ac:dyDescent="0.3">
      <c r="A22" s="1199" t="s">
        <v>508</v>
      </c>
      <c r="B22" s="1200"/>
      <c r="C22" s="1200"/>
      <c r="D22" s="1200"/>
      <c r="E22" s="1200"/>
      <c r="F22" s="1200"/>
      <c r="G22" s="1200"/>
      <c r="H22" s="1200"/>
      <c r="I22" s="1200"/>
      <c r="J22" s="1200"/>
    </row>
    <row r="23" spans="1:10" x14ac:dyDescent="0.3">
      <c r="A23" s="1211" t="s">
        <v>745</v>
      </c>
      <c r="B23" s="1212"/>
      <c r="C23" s="1212"/>
      <c r="D23" s="1212"/>
      <c r="E23" s="1213" t="s">
        <v>226</v>
      </c>
      <c r="F23" s="1213"/>
      <c r="G23" s="189">
        <f>розрахунок!D17</f>
        <v>250</v>
      </c>
      <c r="H23" s="1213" t="s">
        <v>227</v>
      </c>
      <c r="I23" s="1213"/>
      <c r="J23" s="189">
        <f>розрахунок!D19</f>
        <v>1993</v>
      </c>
    </row>
    <row r="24" spans="1:10" x14ac:dyDescent="0.3">
      <c r="A24" s="410"/>
      <c r="B24" s="476"/>
      <c r="C24" s="476"/>
      <c r="D24" s="476"/>
      <c r="E24" s="476"/>
      <c r="F24" s="476"/>
      <c r="G24" s="476"/>
      <c r="H24" s="476"/>
      <c r="I24" s="476"/>
      <c r="J24" s="476"/>
    </row>
    <row r="25" spans="1:10" x14ac:dyDescent="0.3">
      <c r="A25" s="540" t="s">
        <v>228</v>
      </c>
      <c r="B25" s="1496" t="s">
        <v>229</v>
      </c>
      <c r="C25" s="1496"/>
      <c r="D25" s="1496"/>
      <c r="E25" s="1496"/>
      <c r="F25" s="1496"/>
      <c r="G25" s="192"/>
      <c r="H25" s="192"/>
      <c r="I25" s="192"/>
      <c r="J25" s="192"/>
    </row>
    <row r="26" spans="1:10" ht="91.8" x14ac:dyDescent="0.3">
      <c r="A26" s="193" t="s">
        <v>230</v>
      </c>
      <c r="B26" s="1215" t="s">
        <v>231</v>
      </c>
      <c r="C26" s="1216"/>
      <c r="D26" s="194" t="s">
        <v>685</v>
      </c>
      <c r="E26" s="195" t="s">
        <v>233</v>
      </c>
      <c r="F26" s="1217" t="s">
        <v>686</v>
      </c>
      <c r="G26" s="1216"/>
      <c r="H26" s="196" t="s">
        <v>687</v>
      </c>
      <c r="I26" s="197" t="s">
        <v>236</v>
      </c>
      <c r="J26" s="197" t="s">
        <v>237</v>
      </c>
    </row>
    <row r="27" spans="1:10" x14ac:dyDescent="0.3">
      <c r="A27" s="231">
        <v>1</v>
      </c>
      <c r="B27" s="1497">
        <v>2</v>
      </c>
      <c r="C27" s="1168"/>
      <c r="D27" s="233">
        <v>3</v>
      </c>
      <c r="E27" s="233">
        <v>4</v>
      </c>
      <c r="F27" s="1498">
        <v>5</v>
      </c>
      <c r="G27" s="754"/>
      <c r="H27" s="233">
        <v>6</v>
      </c>
      <c r="I27" s="233">
        <v>7</v>
      </c>
      <c r="J27" s="541">
        <v>8</v>
      </c>
    </row>
    <row r="28" spans="1:10" ht="36.6" customHeight="1" x14ac:dyDescent="0.3">
      <c r="A28" s="542">
        <v>1</v>
      </c>
      <c r="B28" s="1192" t="s">
        <v>404</v>
      </c>
      <c r="C28" s="1486"/>
      <c r="D28" s="543"/>
      <c r="E28" s="202">
        <f>G23</f>
        <v>250</v>
      </c>
      <c r="F28" s="1487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72"/>
      <c r="H28" s="201">
        <f>(D28/100)*F28*E28</f>
        <v>0</v>
      </c>
      <c r="I28" s="203">
        <v>58</v>
      </c>
      <c r="J28" s="544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13" t="s">
        <v>102</v>
      </c>
      <c r="B29" s="1192" t="s">
        <v>688</v>
      </c>
      <c r="C29" s="1494"/>
      <c r="D29" s="543"/>
      <c r="E29" s="202">
        <v>156</v>
      </c>
      <c r="F29" s="1487">
        <f>IF([1]Таблица_Характеристика!$N$31&lt;=0.2,0.41,0.55)</f>
        <v>0.41</v>
      </c>
      <c r="G29" s="1495"/>
      <c r="H29" s="201">
        <f>(D29/100)*F29*E29</f>
        <v>0</v>
      </c>
      <c r="I29" s="203">
        <v>59</v>
      </c>
      <c r="J29" s="544" t="str">
        <f>IF([1]Таблица_Характеристика!$N$31&lt;=0.2,"1-59-1","1-59-2")</f>
        <v>1-59-1</v>
      </c>
    </row>
    <row r="30" spans="1:10" ht="15" customHeight="1" x14ac:dyDescent="0.3">
      <c r="A30" s="213" t="s">
        <v>240</v>
      </c>
      <c r="B30" s="1472" t="s">
        <v>408</v>
      </c>
      <c r="C30" s="1473"/>
      <c r="D30" s="1473"/>
      <c r="E30" s="1473"/>
      <c r="F30" s="1473"/>
      <c r="G30" s="1474"/>
      <c r="H30" s="1493"/>
      <c r="I30" s="1178"/>
      <c r="J30" s="544"/>
    </row>
    <row r="31" spans="1:10" ht="27.6" customHeight="1" x14ac:dyDescent="0.3">
      <c r="A31" s="542"/>
      <c r="B31" s="1192" t="s">
        <v>409</v>
      </c>
      <c r="C31" s="1486"/>
      <c r="D31" s="543"/>
      <c r="E31" s="202">
        <v>2</v>
      </c>
      <c r="F31" s="1487">
        <v>2.66</v>
      </c>
      <c r="G31" s="1382"/>
      <c r="H31" s="201">
        <f>D31/100*F31*E31</f>
        <v>0</v>
      </c>
      <c r="I31" s="203">
        <v>60</v>
      </c>
      <c r="J31" s="544" t="s">
        <v>410</v>
      </c>
    </row>
    <row r="32" spans="1:10" ht="26.4" customHeight="1" x14ac:dyDescent="0.3">
      <c r="A32" s="542"/>
      <c r="B32" s="1192" t="s">
        <v>411</v>
      </c>
      <c r="C32" s="1486"/>
      <c r="D32" s="543"/>
      <c r="E32" s="202">
        <v>2</v>
      </c>
      <c r="F32" s="1487">
        <v>3.21</v>
      </c>
      <c r="G32" s="1382"/>
      <c r="H32" s="201">
        <f t="shared" ref="H32:H37" si="0">D32/100*F32*E32</f>
        <v>0</v>
      </c>
      <c r="I32" s="203">
        <v>60</v>
      </c>
      <c r="J32" s="544" t="s">
        <v>412</v>
      </c>
    </row>
    <row r="33" spans="1:10" ht="31.8" customHeight="1" x14ac:dyDescent="0.3">
      <c r="A33" s="542"/>
      <c r="B33" s="1192" t="s">
        <v>413</v>
      </c>
      <c r="C33" s="1486"/>
      <c r="D33" s="543"/>
      <c r="E33" s="202">
        <v>2</v>
      </c>
      <c r="F33" s="1487">
        <v>3.32</v>
      </c>
      <c r="G33" s="1382"/>
      <c r="H33" s="201">
        <f t="shared" si="0"/>
        <v>0</v>
      </c>
      <c r="I33" s="203">
        <v>60</v>
      </c>
      <c r="J33" s="544" t="s">
        <v>414</v>
      </c>
    </row>
    <row r="34" spans="1:10" ht="15" customHeight="1" x14ac:dyDescent="0.3">
      <c r="A34" s="542"/>
      <c r="B34" s="1192" t="s">
        <v>415</v>
      </c>
      <c r="C34" s="1486"/>
      <c r="D34" s="543"/>
      <c r="E34" s="202">
        <v>2</v>
      </c>
      <c r="F34" s="1487">
        <v>4.42</v>
      </c>
      <c r="G34" s="1382"/>
      <c r="H34" s="201">
        <f t="shared" si="0"/>
        <v>0</v>
      </c>
      <c r="I34" s="203">
        <v>60</v>
      </c>
      <c r="J34" s="544" t="s">
        <v>416</v>
      </c>
    </row>
    <row r="35" spans="1:10" ht="29.4" customHeight="1" x14ac:dyDescent="0.3">
      <c r="A35" s="542"/>
      <c r="B35" s="1192" t="s">
        <v>417</v>
      </c>
      <c r="C35" s="1486"/>
      <c r="D35" s="543">
        <f>[1]Таблица_Характеристика!L37*[1]Таблица_Характеристика!H37</f>
        <v>0</v>
      </c>
      <c r="E35" s="202">
        <v>2</v>
      </c>
      <c r="F35" s="1487">
        <v>2.4300000000000002</v>
      </c>
      <c r="G35" s="1382"/>
      <c r="H35" s="201">
        <f t="shared" si="0"/>
        <v>0</v>
      </c>
      <c r="I35" s="203">
        <v>60</v>
      </c>
      <c r="J35" s="544" t="s">
        <v>418</v>
      </c>
    </row>
    <row r="36" spans="1:10" ht="35.4" customHeight="1" x14ac:dyDescent="0.3">
      <c r="A36" s="542"/>
      <c r="B36" s="1192" t="s">
        <v>419</v>
      </c>
      <c r="C36" s="1486"/>
      <c r="D36" s="543">
        <f>[1]Таблица_Характеристика!L38*[1]Таблица_Характеристика!H38</f>
        <v>0</v>
      </c>
      <c r="E36" s="202">
        <v>2</v>
      </c>
      <c r="F36" s="1487">
        <v>3.16</v>
      </c>
      <c r="G36" s="1382"/>
      <c r="H36" s="201">
        <f t="shared" si="0"/>
        <v>0</v>
      </c>
      <c r="I36" s="203">
        <v>60</v>
      </c>
      <c r="J36" s="544" t="s">
        <v>420</v>
      </c>
    </row>
    <row r="37" spans="1:10" ht="39" customHeight="1" x14ac:dyDescent="0.3">
      <c r="A37" s="542"/>
      <c r="B37" s="1192" t="s">
        <v>421</v>
      </c>
      <c r="C37" s="1486"/>
      <c r="D37" s="543">
        <f>[1]Таблица_Характеристика!L39*[1]Таблица_Характеристика!H39</f>
        <v>0</v>
      </c>
      <c r="E37" s="202">
        <v>2</v>
      </c>
      <c r="F37" s="1487">
        <v>3.67</v>
      </c>
      <c r="G37" s="1382"/>
      <c r="H37" s="201">
        <f t="shared" si="0"/>
        <v>0</v>
      </c>
      <c r="I37" s="203">
        <v>60</v>
      </c>
      <c r="J37" s="544" t="s">
        <v>422</v>
      </c>
    </row>
    <row r="38" spans="1:10" ht="33.6" customHeight="1" x14ac:dyDescent="0.3">
      <c r="A38" s="213" t="s">
        <v>244</v>
      </c>
      <c r="B38" s="1201" t="s">
        <v>423</v>
      </c>
      <c r="C38" s="1488"/>
      <c r="D38" s="543"/>
      <c r="E38" s="202"/>
      <c r="F38" s="1487"/>
      <c r="G38" s="1382"/>
      <c r="H38" s="1493"/>
      <c r="I38" s="1178"/>
      <c r="J38" s="544"/>
    </row>
    <row r="39" spans="1:10" ht="35.4" customHeight="1" x14ac:dyDescent="0.3">
      <c r="A39" s="542"/>
      <c r="B39" s="1192" t="s">
        <v>409</v>
      </c>
      <c r="C39" s="1486"/>
      <c r="D39" s="543"/>
      <c r="E39" s="202">
        <v>2</v>
      </c>
      <c r="F39" s="1487">
        <v>3.48</v>
      </c>
      <c r="G39" s="1382"/>
      <c r="H39" s="201">
        <f>D39/100*F39*E39</f>
        <v>0</v>
      </c>
      <c r="I39" s="203">
        <v>61</v>
      </c>
      <c r="J39" s="544" t="s">
        <v>424</v>
      </c>
    </row>
    <row r="40" spans="1:10" ht="36.6" customHeight="1" x14ac:dyDescent="0.3">
      <c r="A40" s="542"/>
      <c r="B40" s="1192" t="s">
        <v>411</v>
      </c>
      <c r="C40" s="1486"/>
      <c r="D40" s="543">
        <f>[1]Таблица_Характеристика!M34*[1]Таблица_Характеристика!H34</f>
        <v>0</v>
      </c>
      <c r="E40" s="202">
        <v>2</v>
      </c>
      <c r="F40" s="1487">
        <v>4.05</v>
      </c>
      <c r="G40" s="1382"/>
      <c r="H40" s="201">
        <f t="shared" ref="H40:H45" si="1">D40/100*F40*E40</f>
        <v>0</v>
      </c>
      <c r="I40" s="203">
        <v>61</v>
      </c>
      <c r="J40" s="544" t="s">
        <v>425</v>
      </c>
    </row>
    <row r="41" spans="1:10" ht="28.8" customHeight="1" x14ac:dyDescent="0.3">
      <c r="A41" s="542"/>
      <c r="B41" s="1192" t="s">
        <v>413</v>
      </c>
      <c r="C41" s="1486"/>
      <c r="D41" s="543">
        <f>[1]Таблица_Характеристика!M35*[1]Таблица_Характеристика!H35</f>
        <v>0</v>
      </c>
      <c r="E41" s="202">
        <v>2</v>
      </c>
      <c r="F41" s="1487">
        <v>4.93</v>
      </c>
      <c r="G41" s="1382"/>
      <c r="H41" s="201">
        <f t="shared" si="1"/>
        <v>0</v>
      </c>
      <c r="I41" s="203">
        <v>61</v>
      </c>
      <c r="J41" s="544" t="s">
        <v>426</v>
      </c>
    </row>
    <row r="42" spans="1:10" ht="26.4" customHeight="1" x14ac:dyDescent="0.3">
      <c r="A42" s="542"/>
      <c r="B42" s="1192" t="s">
        <v>415</v>
      </c>
      <c r="C42" s="1486"/>
      <c r="D42" s="543">
        <f>[1]Таблица_Характеристика!M36*[1]Таблица_Характеристика!H36</f>
        <v>0</v>
      </c>
      <c r="E42" s="202">
        <v>2</v>
      </c>
      <c r="F42" s="1487">
        <v>5.81</v>
      </c>
      <c r="G42" s="1382"/>
      <c r="H42" s="201">
        <f t="shared" si="1"/>
        <v>0</v>
      </c>
      <c r="I42" s="203">
        <v>61</v>
      </c>
      <c r="J42" s="544" t="s">
        <v>427</v>
      </c>
    </row>
    <row r="43" spans="1:10" ht="31.2" customHeight="1" x14ac:dyDescent="0.3">
      <c r="A43" s="542"/>
      <c r="B43" s="1192" t="s">
        <v>417</v>
      </c>
      <c r="C43" s="1486"/>
      <c r="D43" s="543">
        <f>[1]Таблица_Характеристика!M37*[1]Таблица_Характеристика!H37</f>
        <v>0</v>
      </c>
      <c r="E43" s="202">
        <v>2</v>
      </c>
      <c r="F43" s="1487">
        <v>3.29</v>
      </c>
      <c r="G43" s="1382"/>
      <c r="H43" s="201">
        <f t="shared" si="1"/>
        <v>0</v>
      </c>
      <c r="I43" s="203">
        <v>61</v>
      </c>
      <c r="J43" s="544" t="s">
        <v>428</v>
      </c>
    </row>
    <row r="44" spans="1:10" ht="26.4" customHeight="1" x14ac:dyDescent="0.3">
      <c r="A44" s="542"/>
      <c r="B44" s="1192" t="s">
        <v>419</v>
      </c>
      <c r="C44" s="1486"/>
      <c r="D44" s="543">
        <f>[1]Таблица_Характеристика!M38*[1]Таблица_Характеристика!H38</f>
        <v>0</v>
      </c>
      <c r="E44" s="202">
        <v>2</v>
      </c>
      <c r="F44" s="1487">
        <v>4.01</v>
      </c>
      <c r="G44" s="1382"/>
      <c r="H44" s="201">
        <f t="shared" si="1"/>
        <v>0</v>
      </c>
      <c r="I44" s="203">
        <v>61</v>
      </c>
      <c r="J44" s="544" t="s">
        <v>429</v>
      </c>
    </row>
    <row r="45" spans="1:10" ht="34.200000000000003" customHeight="1" x14ac:dyDescent="0.3">
      <c r="A45" s="542"/>
      <c r="B45" s="1192" t="s">
        <v>421</v>
      </c>
      <c r="C45" s="1486"/>
      <c r="D45" s="543">
        <f>[1]Таблица_Характеристика!M39*[1]Таблица_Характеристика!H39</f>
        <v>0</v>
      </c>
      <c r="E45" s="202">
        <v>2</v>
      </c>
      <c r="F45" s="1487">
        <v>4.7</v>
      </c>
      <c r="G45" s="1382"/>
      <c r="H45" s="201">
        <f t="shared" si="1"/>
        <v>0</v>
      </c>
      <c r="I45" s="203">
        <v>61</v>
      </c>
      <c r="J45" s="544" t="s">
        <v>430</v>
      </c>
    </row>
    <row r="46" spans="1:10" ht="43.8" customHeight="1" x14ac:dyDescent="0.3">
      <c r="A46" s="213" t="s">
        <v>245</v>
      </c>
      <c r="B46" s="1472" t="s">
        <v>431</v>
      </c>
      <c r="C46" s="1491"/>
      <c r="D46" s="545">
        <f>[1]Таблица_Характеристика!C41</f>
        <v>0</v>
      </c>
      <c r="E46" s="546">
        <v>24</v>
      </c>
      <c r="F46" s="1489">
        <v>0.92</v>
      </c>
      <c r="G46" s="1492"/>
      <c r="H46" s="205">
        <f>D46/100*F46*E46</f>
        <v>0</v>
      </c>
      <c r="I46" s="206">
        <v>62</v>
      </c>
      <c r="J46" s="547" t="s">
        <v>432</v>
      </c>
    </row>
    <row r="47" spans="1:10" x14ac:dyDescent="0.3">
      <c r="A47" s="213" t="s">
        <v>260</v>
      </c>
      <c r="B47" s="1201" t="s">
        <v>433</v>
      </c>
      <c r="C47" s="1488"/>
      <c r="D47" s="545"/>
      <c r="E47" s="546"/>
      <c r="F47" s="1489"/>
      <c r="G47" s="1490"/>
      <c r="H47" s="205"/>
      <c r="I47" s="206" t="s">
        <v>689</v>
      </c>
      <c r="J47" s="547"/>
    </row>
    <row r="48" spans="1:10" x14ac:dyDescent="0.3">
      <c r="A48" s="542" t="s">
        <v>240</v>
      </c>
      <c r="B48" s="1192" t="s">
        <v>434</v>
      </c>
      <c r="C48" s="1486"/>
      <c r="D48" s="543">
        <f>[1]Таблица_Характеристика!G41</f>
        <v>0</v>
      </c>
      <c r="E48" s="202">
        <v>12</v>
      </c>
      <c r="F48" s="1487">
        <v>1.47</v>
      </c>
      <c r="G48" s="1172"/>
      <c r="H48" s="201">
        <f t="shared" ref="H48:H55" si="2">D48/100*F48*E48</f>
        <v>0</v>
      </c>
      <c r="I48" s="203">
        <v>63</v>
      </c>
      <c r="J48" s="544" t="s">
        <v>435</v>
      </c>
    </row>
    <row r="49" spans="1:10" x14ac:dyDescent="0.3">
      <c r="A49" s="542"/>
      <c r="B49" s="1192" t="s">
        <v>436</v>
      </c>
      <c r="C49" s="1486"/>
      <c r="D49" s="543">
        <f>[1]Таблица_Характеристика!J41</f>
        <v>0</v>
      </c>
      <c r="E49" s="202">
        <v>12</v>
      </c>
      <c r="F49" s="1487">
        <v>2.25</v>
      </c>
      <c r="G49" s="1172"/>
      <c r="H49" s="201">
        <f t="shared" si="2"/>
        <v>0</v>
      </c>
      <c r="I49" s="203">
        <v>63</v>
      </c>
      <c r="J49" s="544" t="s">
        <v>437</v>
      </c>
    </row>
    <row r="50" spans="1:10" x14ac:dyDescent="0.3">
      <c r="A50" s="542"/>
      <c r="B50" s="1192" t="s">
        <v>438</v>
      </c>
      <c r="C50" s="1486"/>
      <c r="D50" s="543">
        <f>[1]Таблица_Характеристика!N41</f>
        <v>0</v>
      </c>
      <c r="E50" s="202">
        <v>12</v>
      </c>
      <c r="F50" s="1487">
        <v>2</v>
      </c>
      <c r="G50" s="1172"/>
      <c r="H50" s="201">
        <f t="shared" si="2"/>
        <v>0</v>
      </c>
      <c r="I50" s="203">
        <v>63</v>
      </c>
      <c r="J50" s="544" t="s">
        <v>439</v>
      </c>
    </row>
    <row r="51" spans="1:10" ht="26.4" customHeight="1" x14ac:dyDescent="0.3">
      <c r="A51" s="542"/>
      <c r="B51" s="1192" t="s">
        <v>440</v>
      </c>
      <c r="C51" s="1486"/>
      <c r="D51" s="543"/>
      <c r="E51" s="202">
        <v>12</v>
      </c>
      <c r="F51" s="1487">
        <v>2.0299999999999998</v>
      </c>
      <c r="G51" s="1382"/>
      <c r="H51" s="201">
        <f t="shared" si="2"/>
        <v>0</v>
      </c>
      <c r="I51" s="203">
        <v>64</v>
      </c>
      <c r="J51" s="544" t="s">
        <v>441</v>
      </c>
    </row>
    <row r="52" spans="1:10" ht="19.2" customHeight="1" x14ac:dyDescent="0.3">
      <c r="A52" s="542"/>
      <c r="B52" s="1192" t="s">
        <v>442</v>
      </c>
      <c r="C52" s="1486"/>
      <c r="D52" s="543"/>
      <c r="E52" s="202">
        <v>12</v>
      </c>
      <c r="F52" s="1487">
        <v>1.66</v>
      </c>
      <c r="G52" s="1382"/>
      <c r="H52" s="201">
        <f t="shared" si="2"/>
        <v>0</v>
      </c>
      <c r="I52" s="203">
        <v>64</v>
      </c>
      <c r="J52" s="544" t="s">
        <v>443</v>
      </c>
    </row>
    <row r="53" spans="1:10" ht="27.6" customHeight="1" x14ac:dyDescent="0.3">
      <c r="A53" s="542"/>
      <c r="B53" s="1192" t="s">
        <v>444</v>
      </c>
      <c r="C53" s="1486"/>
      <c r="D53" s="543">
        <f>[1]Таблица_Характеристика!N42</f>
        <v>0</v>
      </c>
      <c r="E53" s="202">
        <v>12</v>
      </c>
      <c r="F53" s="1487">
        <v>3.1</v>
      </c>
      <c r="G53" s="1172"/>
      <c r="H53" s="201">
        <f t="shared" si="2"/>
        <v>0</v>
      </c>
      <c r="I53" s="203">
        <v>64</v>
      </c>
      <c r="J53" s="544" t="s">
        <v>445</v>
      </c>
    </row>
    <row r="54" spans="1:10" ht="29.4" customHeight="1" x14ac:dyDescent="0.3">
      <c r="A54" s="548"/>
      <c r="B54" s="1188" t="s">
        <v>446</v>
      </c>
      <c r="C54" s="1483"/>
      <c r="D54" s="201">
        <f>[1]Таблица_Характеристика!C43</f>
        <v>0</v>
      </c>
      <c r="E54" s="202">
        <v>12</v>
      </c>
      <c r="F54" s="1183">
        <v>2.76</v>
      </c>
      <c r="G54" s="1382"/>
      <c r="H54" s="201">
        <f t="shared" si="2"/>
        <v>0</v>
      </c>
      <c r="I54" s="203">
        <v>65</v>
      </c>
      <c r="J54" s="549" t="s">
        <v>447</v>
      </c>
    </row>
    <row r="55" spans="1:10" ht="48.6" customHeight="1" x14ac:dyDescent="0.3">
      <c r="A55" s="548"/>
      <c r="B55" s="1188" t="s">
        <v>448</v>
      </c>
      <c r="C55" s="1486"/>
      <c r="D55" s="201">
        <f>[1]Таблица_Характеристика!L43</f>
        <v>0</v>
      </c>
      <c r="E55" s="202">
        <v>12</v>
      </c>
      <c r="F55" s="1183">
        <v>1.3</v>
      </c>
      <c r="G55" s="1382"/>
      <c r="H55" s="201">
        <f t="shared" si="2"/>
        <v>0</v>
      </c>
      <c r="I55" s="203">
        <v>65</v>
      </c>
      <c r="J55" s="549" t="s">
        <v>449</v>
      </c>
    </row>
    <row r="56" spans="1:10" ht="29.4" customHeight="1" x14ac:dyDescent="0.3">
      <c r="A56" s="548"/>
      <c r="B56" s="1188" t="s">
        <v>450</v>
      </c>
      <c r="C56" s="1483"/>
      <c r="D56" s="236">
        <f>[1]Таблица_Характеристика!N43</f>
        <v>0</v>
      </c>
      <c r="E56" s="202">
        <v>12</v>
      </c>
      <c r="F56" s="1183">
        <v>7.0000000000000007E-2</v>
      </c>
      <c r="G56" s="1382"/>
      <c r="H56" s="201">
        <f>D56/10*F56*E56</f>
        <v>0</v>
      </c>
      <c r="I56" s="203">
        <v>66</v>
      </c>
      <c r="J56" s="549" t="s">
        <v>451</v>
      </c>
    </row>
    <row r="57" spans="1:10" ht="42.6" customHeight="1" x14ac:dyDescent="0.3">
      <c r="A57" s="550" t="s">
        <v>240</v>
      </c>
      <c r="B57" s="1484" t="s">
        <v>452</v>
      </c>
      <c r="C57" s="1485"/>
      <c r="D57" s="201">
        <v>0</v>
      </c>
      <c r="E57" s="202">
        <f>G23</f>
        <v>250</v>
      </c>
      <c r="F57" s="1183">
        <f>IF([1]Расчет!D29=0,0.74,IF([1]Расчет!D29=1,1.11,IF([1]Расчет!D29=2,1.06,1.25)))</f>
        <v>1.25</v>
      </c>
      <c r="G57" s="1184"/>
      <c r="H57" s="201">
        <f t="shared" ref="H57:H61" si="3">(D57/100)*F57*E57</f>
        <v>0</v>
      </c>
      <c r="I57" s="203">
        <v>67</v>
      </c>
      <c r="J57" s="549" t="str">
        <f>CONCATENATE("1-67-",[1]Расчет!D29+1)</f>
        <v>1-67-219,83</v>
      </c>
    </row>
    <row r="58" spans="1:10" ht="40.200000000000003" customHeight="1" x14ac:dyDescent="0.3">
      <c r="A58" s="550" t="s">
        <v>244</v>
      </c>
      <c r="B58" s="1484" t="s">
        <v>453</v>
      </c>
      <c r="C58" s="1485"/>
      <c r="D58" s="201"/>
      <c r="E58" s="202">
        <v>156</v>
      </c>
      <c r="F58" s="1183">
        <f>IF([1]Расчет!D29=0,0.55,IF([1]Расчет!D29=1,0.93,IF([1]Расчет!D29=2,0.79,0.93)))</f>
        <v>0.93</v>
      </c>
      <c r="G58" s="1184"/>
      <c r="H58" s="201">
        <f t="shared" si="3"/>
        <v>0</v>
      </c>
      <c r="I58" s="203">
        <v>68</v>
      </c>
      <c r="J58" s="549" t="str">
        <f>CONCATENATE("1-68-",[1]Расчет!D29+1)</f>
        <v>1-68-219,83</v>
      </c>
    </row>
    <row r="59" spans="1:10" ht="48" customHeight="1" x14ac:dyDescent="0.3">
      <c r="A59" s="550" t="s">
        <v>244</v>
      </c>
      <c r="B59" s="1192" t="s">
        <v>454</v>
      </c>
      <c r="C59" s="1482"/>
      <c r="D59" s="201">
        <f>[1]Таблица_Характеристика!N59</f>
        <v>0</v>
      </c>
      <c r="E59" s="202">
        <f>G23</f>
        <v>250</v>
      </c>
      <c r="F59" s="1183">
        <f>IF([1]Расчет!D29=1,1.66,(IF([1]Расчет!D29=3,1.7,0)))</f>
        <v>0</v>
      </c>
      <c r="G59" s="1184"/>
      <c r="H59" s="201">
        <f t="shared" si="3"/>
        <v>0</v>
      </c>
      <c r="I59" s="203">
        <v>69</v>
      </c>
      <c r="J59" s="549" t="str">
        <f>IF([1]Таблица_Характеристика!G59=0,"",CONCATENATE("1-69-",[1]Расчет!D29-1))</f>
        <v/>
      </c>
    </row>
    <row r="60" spans="1:10" ht="41.4" customHeight="1" x14ac:dyDescent="0.3">
      <c r="A60" s="551" t="s">
        <v>245</v>
      </c>
      <c r="B60" s="1188" t="s">
        <v>455</v>
      </c>
      <c r="C60" s="1482"/>
      <c r="D60" s="201">
        <v>0</v>
      </c>
      <c r="E60" s="202">
        <v>24</v>
      </c>
      <c r="F60" s="1183">
        <f>IF([1]Расчет!D29=0,2.21,IF([1]Расчет!D29=1,2.6,IF([1]Расчет!D29=2,2.35,2.65)))</f>
        <v>2.65</v>
      </c>
      <c r="G60" s="1184"/>
      <c r="H60" s="201">
        <f t="shared" si="3"/>
        <v>0</v>
      </c>
      <c r="I60" s="203">
        <v>71</v>
      </c>
      <c r="J60" s="549" t="str">
        <f>CONCATENATE("1-71-",[1]Расчет!D29+1)</f>
        <v>1-71-219,83</v>
      </c>
    </row>
    <row r="61" spans="1:10" ht="39" customHeight="1" x14ac:dyDescent="0.3">
      <c r="A61" s="551" t="s">
        <v>260</v>
      </c>
      <c r="B61" s="1188" t="s">
        <v>456</v>
      </c>
      <c r="C61" s="1482"/>
      <c r="D61" s="201">
        <v>0</v>
      </c>
      <c r="E61" s="202">
        <v>24</v>
      </c>
      <c r="F61" s="1183">
        <f>IF([1]Расчет!D29=0,2.1,IF([1]Расчет!D29=1,2.5,IF([1]Расчет!D29=2,2.25,2.55)))</f>
        <v>2.5499999999999998</v>
      </c>
      <c r="G61" s="1184"/>
      <c r="H61" s="201">
        <f t="shared" si="3"/>
        <v>0</v>
      </c>
      <c r="I61" s="203">
        <v>72</v>
      </c>
      <c r="J61" s="549" t="str">
        <f>CONCATENATE("1-72-",[1]Расчет!D29+1)</f>
        <v>1-72-219,83</v>
      </c>
    </row>
    <row r="62" spans="1:10" x14ac:dyDescent="0.3">
      <c r="A62" s="219"/>
      <c r="B62" s="1173" t="s">
        <v>266</v>
      </c>
      <c r="C62" s="1481"/>
      <c r="D62" s="552"/>
      <c r="E62" s="221"/>
      <c r="F62" s="760"/>
      <c r="G62" s="760"/>
      <c r="H62" s="222">
        <f>SUM(H28:H61)</f>
        <v>0</v>
      </c>
      <c r="I62" s="223"/>
      <c r="J62" s="224"/>
    </row>
    <row r="63" spans="1:10" x14ac:dyDescent="0.3">
      <c r="A63" s="1475" t="s">
        <v>468</v>
      </c>
      <c r="B63" s="1475"/>
      <c r="C63" s="1475"/>
      <c r="D63" s="1475"/>
      <c r="E63" s="1475"/>
      <c r="F63" s="1475"/>
      <c r="G63" s="1475"/>
      <c r="H63" s="1475"/>
      <c r="I63" s="1475"/>
      <c r="J63" s="1475"/>
    </row>
    <row r="64" spans="1:10" x14ac:dyDescent="0.3">
      <c r="A64" s="553"/>
      <c r="B64" s="553"/>
      <c r="C64" s="554"/>
      <c r="D64" s="554"/>
      <c r="E64" s="555"/>
      <c r="F64" s="555"/>
      <c r="G64" s="554"/>
      <c r="H64" s="555"/>
      <c r="I64" s="555"/>
      <c r="J64" s="555"/>
    </row>
    <row r="65" spans="1:10" x14ac:dyDescent="0.3">
      <c r="A65" s="1476" t="s">
        <v>690</v>
      </c>
      <c r="B65" s="1477"/>
      <c r="C65" s="1477"/>
      <c r="D65" s="1477"/>
      <c r="E65" s="1477"/>
      <c r="F65" s="1477"/>
      <c r="G65" s="1477"/>
      <c r="H65" s="1477"/>
      <c r="I65" s="1477"/>
      <c r="J65" s="1477"/>
    </row>
    <row r="66" spans="1:10" ht="84" x14ac:dyDescent="0.3">
      <c r="A66" s="1478" t="s">
        <v>190</v>
      </c>
      <c r="B66" s="1168"/>
      <c r="C66" s="229" t="s">
        <v>269</v>
      </c>
      <c r="D66" s="230" t="s">
        <v>270</v>
      </c>
      <c r="E66" s="231" t="s">
        <v>271</v>
      </c>
      <c r="F66" s="232" t="s">
        <v>691</v>
      </c>
      <c r="G66" s="232" t="s">
        <v>692</v>
      </c>
      <c r="H66" s="231" t="s">
        <v>274</v>
      </c>
      <c r="I66" s="1167" t="s">
        <v>693</v>
      </c>
      <c r="J66" s="1187"/>
    </row>
    <row r="67" spans="1:10" x14ac:dyDescent="0.3">
      <c r="A67" s="1479">
        <v>1</v>
      </c>
      <c r="B67" s="1205"/>
      <c r="C67" s="478">
        <v>2</v>
      </c>
      <c r="D67" s="199">
        <v>3</v>
      </c>
      <c r="E67" s="199">
        <v>4</v>
      </c>
      <c r="F67" s="199">
        <v>5</v>
      </c>
      <c r="G67" s="556"/>
      <c r="H67" s="199">
        <v>6</v>
      </c>
      <c r="I67" s="1480">
        <v>7</v>
      </c>
      <c r="J67" s="790"/>
    </row>
    <row r="68" spans="1:10" x14ac:dyDescent="0.3">
      <c r="A68" s="1251" t="s">
        <v>197</v>
      </c>
      <c r="B68" s="770"/>
      <c r="C68" s="235">
        <f>H62</f>
        <v>0</v>
      </c>
      <c r="D68" s="201">
        <f>J23</f>
        <v>1993</v>
      </c>
      <c r="E68" s="201">
        <f>ROUND(C68/D68,2)</f>
        <v>0</v>
      </c>
      <c r="F68" s="201">
        <f>оклади!K7</f>
        <v>4173</v>
      </c>
      <c r="G68" s="208">
        <f>E68*F68</f>
        <v>0</v>
      </c>
      <c r="H68" s="201">
        <v>0</v>
      </c>
      <c r="I68" s="1171">
        <f>G68*1.09+H68</f>
        <v>0</v>
      </c>
      <c r="J68" s="1382"/>
    </row>
    <row r="69" spans="1:10" x14ac:dyDescent="0.3">
      <c r="A69" s="557"/>
      <c r="B69" s="558"/>
      <c r="C69" s="559"/>
      <c r="D69" s="560"/>
      <c r="E69" s="560"/>
      <c r="F69" s="560"/>
      <c r="G69" s="561"/>
      <c r="H69" s="560"/>
      <c r="I69" s="560"/>
      <c r="J69" s="560"/>
    </row>
    <row r="70" spans="1:10" x14ac:dyDescent="0.3">
      <c r="A70" s="1164" t="s">
        <v>625</v>
      </c>
      <c r="B70" s="1164"/>
      <c r="C70" s="1164"/>
      <c r="D70" s="1164"/>
      <c r="E70" s="1164"/>
      <c r="F70" s="1164"/>
      <c r="G70" s="1164"/>
      <c r="H70" s="1164"/>
      <c r="I70" s="1164"/>
      <c r="J70" s="1164"/>
    </row>
    <row r="71" spans="1:10" ht="83.4" x14ac:dyDescent="0.3">
      <c r="A71" s="1155" t="s">
        <v>277</v>
      </c>
      <c r="B71" s="1165"/>
      <c r="C71" s="231" t="s">
        <v>278</v>
      </c>
      <c r="D71" s="231" t="s">
        <v>279</v>
      </c>
      <c r="E71" s="1155" t="s">
        <v>694</v>
      </c>
      <c r="F71" s="1166"/>
      <c r="G71" s="1155" t="s">
        <v>695</v>
      </c>
      <c r="H71" s="770"/>
      <c r="I71" s="1155" t="s">
        <v>696</v>
      </c>
      <c r="J71" s="770"/>
    </row>
    <row r="72" spans="1:10" x14ac:dyDescent="0.3">
      <c r="A72" s="1155">
        <v>1</v>
      </c>
      <c r="B72" s="1165"/>
      <c r="C72" s="231">
        <v>2</v>
      </c>
      <c r="D72" s="231">
        <v>3</v>
      </c>
      <c r="E72" s="1155">
        <v>4</v>
      </c>
      <c r="F72" s="1166"/>
      <c r="G72" s="1155">
        <v>5</v>
      </c>
      <c r="H72" s="770"/>
      <c r="I72" s="1155">
        <v>6</v>
      </c>
      <c r="J72" s="770"/>
    </row>
    <row r="73" spans="1:10" ht="25.2" customHeight="1" x14ac:dyDescent="0.3">
      <c r="A73" s="1251" t="s">
        <v>283</v>
      </c>
      <c r="B73" s="1251"/>
      <c r="C73" s="404">
        <f>прибирання!C49</f>
        <v>1782768</v>
      </c>
      <c r="D73" s="243">
        <f>прибирання!D49</f>
        <v>4193729</v>
      </c>
      <c r="E73" s="1156">
        <f>C73/D73*100</f>
        <v>42.51032911282536</v>
      </c>
      <c r="F73" s="761"/>
      <c r="G73" s="1157">
        <f>I68</f>
        <v>0</v>
      </c>
      <c r="H73" s="770"/>
      <c r="I73" s="1157">
        <f>E73*G73/100</f>
        <v>0</v>
      </c>
      <c r="J73" s="770"/>
    </row>
    <row r="74" spans="1:10" ht="26.4" customHeight="1" x14ac:dyDescent="0.3">
      <c r="A74" s="1251" t="s">
        <v>284</v>
      </c>
      <c r="B74" s="1251"/>
      <c r="C74" s="404">
        <f>прибирання!C50</f>
        <v>2914645</v>
      </c>
      <c r="D74" s="243">
        <f>прибирання!D50</f>
        <v>14598843</v>
      </c>
      <c r="E74" s="1156">
        <f>C74/D74*100</f>
        <v>19.964904068082657</v>
      </c>
      <c r="F74" s="761"/>
      <c r="G74" s="1157">
        <f>I11+I12+I14+I15+I73</f>
        <v>0</v>
      </c>
      <c r="H74" s="770"/>
      <c r="I74" s="1157">
        <f>E74*G74/100</f>
        <v>0</v>
      </c>
      <c r="J74" s="770"/>
    </row>
    <row r="75" spans="1:10" ht="35.4" customHeight="1" x14ac:dyDescent="0.3">
      <c r="A75" s="1253" t="s">
        <v>285</v>
      </c>
      <c r="B75" s="1253"/>
      <c r="C75" s="405"/>
      <c r="D75" s="406"/>
      <c r="E75" s="1159"/>
      <c r="F75" s="761"/>
      <c r="G75" s="1160"/>
      <c r="H75" s="770"/>
      <c r="I75" s="1160">
        <f>SUM(I73:I74)</f>
        <v>0</v>
      </c>
      <c r="J75" s="770"/>
    </row>
    <row r="76" spans="1:10" x14ac:dyDescent="0.3">
      <c r="A76" s="142"/>
      <c r="B76" s="142"/>
      <c r="C76" s="142"/>
      <c r="D76" s="142"/>
      <c r="E76" s="142"/>
      <c r="F76" s="142"/>
      <c r="G76" s="142"/>
      <c r="H76" s="142"/>
      <c r="I76" s="142"/>
      <c r="J76" s="142"/>
    </row>
    <row r="77" spans="1:10" x14ac:dyDescent="0.3">
      <c r="A77" s="1154">
        <f>[1]прибир.прибуд!A81</f>
        <v>0</v>
      </c>
      <c r="B77" s="1154"/>
      <c r="C77" s="1154"/>
      <c r="D77" s="1154"/>
      <c r="E77" s="1154"/>
      <c r="F77" s="1154"/>
      <c r="G77" s="1154"/>
      <c r="H77" s="1154"/>
      <c r="I77" s="1154"/>
      <c r="J77" s="1154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8"/>
  <sheetViews>
    <sheetView topLeftCell="A12" zoomScaleNormal="100" workbookViewId="0">
      <selection activeCell="B12" sqref="B12:E12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КанівШевченка21</v>
      </c>
      <c r="G1" s="1246" t="s">
        <v>214</v>
      </c>
      <c r="H1" s="1246"/>
      <c r="I1" s="1246"/>
      <c r="J1" s="1246"/>
    </row>
    <row r="2" spans="1:10" x14ac:dyDescent="0.3">
      <c r="G2" s="1246" t="s">
        <v>108</v>
      </c>
      <c r="H2" s="1246"/>
      <c r="I2" s="1246"/>
      <c r="J2" s="1246"/>
    </row>
    <row r="3" spans="1:10" x14ac:dyDescent="0.3">
      <c r="G3" s="1247" t="s">
        <v>638</v>
      </c>
      <c r="H3" s="1247"/>
      <c r="I3" s="1247"/>
      <c r="J3" s="1247"/>
    </row>
    <row r="4" spans="1:10" x14ac:dyDescent="0.3">
      <c r="G4" s="252"/>
      <c r="H4" s="253"/>
      <c r="I4" s="1248" t="s">
        <v>296</v>
      </c>
      <c r="J4" s="1248"/>
    </row>
    <row r="6" spans="1:10" x14ac:dyDescent="0.3">
      <c r="A6" s="1249" t="s">
        <v>300</v>
      </c>
      <c r="B6" s="1249"/>
      <c r="C6" s="1249"/>
      <c r="D6" s="1249"/>
      <c r="E6" s="1249"/>
      <c r="F6" s="1249"/>
      <c r="G6" s="1249"/>
      <c r="H6" s="1249"/>
      <c r="I6" s="1249"/>
      <c r="J6" s="1249"/>
    </row>
    <row r="7" spans="1:10" ht="33.6" customHeight="1" x14ac:dyDescent="0.3">
      <c r="A7" s="1469" t="s">
        <v>938</v>
      </c>
      <c r="B7" s="1469"/>
      <c r="C7" s="1469"/>
      <c r="D7" s="1469"/>
      <c r="E7" s="1469"/>
      <c r="F7" s="1469"/>
      <c r="G7" s="1469"/>
      <c r="H7" s="1469"/>
      <c r="I7" s="1469"/>
      <c r="J7" s="1469"/>
    </row>
    <row r="9" spans="1:10" x14ac:dyDescent="0.3">
      <c r="A9" s="244" t="s">
        <v>743</v>
      </c>
    </row>
    <row r="10" spans="1:10" ht="26.4" x14ac:dyDescent="0.3">
      <c r="A10" s="184" t="s">
        <v>216</v>
      </c>
      <c r="B10" s="1242" t="s">
        <v>217</v>
      </c>
      <c r="C10" s="1224"/>
      <c r="D10" s="1224"/>
      <c r="E10" s="1224"/>
      <c r="F10" s="184" t="s">
        <v>218</v>
      </c>
      <c r="G10" s="1242" t="s">
        <v>219</v>
      </c>
      <c r="H10" s="1224"/>
      <c r="I10" s="1242" t="s">
        <v>220</v>
      </c>
      <c r="J10" s="1243"/>
    </row>
    <row r="11" spans="1:10" ht="24" customHeight="1" x14ac:dyDescent="0.3">
      <c r="A11" s="184">
        <v>1</v>
      </c>
      <c r="B11" s="1230" t="s">
        <v>744</v>
      </c>
      <c r="C11" s="1141"/>
      <c r="D11" s="1141"/>
      <c r="E11" s="1141"/>
      <c r="F11" s="261" t="s">
        <v>181</v>
      </c>
      <c r="G11" s="1232">
        <f>I11*12</f>
        <v>3054.6360000000004</v>
      </c>
      <c r="H11" s="1233"/>
      <c r="I11" s="1232">
        <f>I56</f>
        <v>254.55300000000003</v>
      </c>
      <c r="J11" s="1239"/>
    </row>
    <row r="12" spans="1:10" ht="41.4" customHeight="1" x14ac:dyDescent="0.3">
      <c r="A12" s="184">
        <v>2</v>
      </c>
      <c r="B12" s="1240" t="s">
        <v>641</v>
      </c>
      <c r="C12" s="1241"/>
      <c r="D12" s="1241"/>
      <c r="E12" s="1241"/>
      <c r="F12" s="261" t="s">
        <v>181</v>
      </c>
      <c r="G12" s="1232">
        <f>I12*12</f>
        <v>672.01991999999996</v>
      </c>
      <c r="H12" s="1233"/>
      <c r="I12" s="1232">
        <f>I11*розрахунок!D13/100</f>
        <v>56.001660000000001</v>
      </c>
      <c r="J12" s="1239"/>
    </row>
    <row r="13" spans="1:10" x14ac:dyDescent="0.3">
      <c r="A13" s="184">
        <v>3</v>
      </c>
      <c r="B13" s="1230" t="s">
        <v>504</v>
      </c>
      <c r="C13" s="1231"/>
      <c r="D13" s="1231"/>
      <c r="E13" s="1231"/>
      <c r="F13" s="261" t="s">
        <v>181</v>
      </c>
      <c r="G13" s="1232">
        <f>I13*12</f>
        <v>2412.745401942298</v>
      </c>
      <c r="H13" s="1233"/>
      <c r="I13" s="1232">
        <f>I63</f>
        <v>201.06211682852484</v>
      </c>
      <c r="J13" s="1239"/>
    </row>
    <row r="14" spans="1:10" x14ac:dyDescent="0.3">
      <c r="A14" s="184">
        <v>4</v>
      </c>
      <c r="B14" s="1230" t="s">
        <v>642</v>
      </c>
      <c r="C14" s="1231"/>
      <c r="D14" s="1231"/>
      <c r="E14" s="1231"/>
      <c r="F14" s="261" t="s">
        <v>181</v>
      </c>
      <c r="G14" s="1232">
        <f>G15+G16</f>
        <v>171.51294999999999</v>
      </c>
      <c r="H14" s="1233"/>
      <c r="I14" s="1232">
        <f>I15+I16</f>
        <v>14.292745833333333</v>
      </c>
      <c r="J14" s="1239"/>
    </row>
    <row r="15" spans="1:10" x14ac:dyDescent="0.3">
      <c r="A15" s="566" t="s">
        <v>700</v>
      </c>
      <c r="B15" s="1263" t="s">
        <v>701</v>
      </c>
      <c r="C15" s="1314"/>
      <c r="D15" s="1314"/>
      <c r="E15" s="1315"/>
      <c r="F15" s="261" t="s">
        <v>181</v>
      </c>
      <c r="G15" s="1232">
        <f>I15*12</f>
        <v>118.38775000000001</v>
      </c>
      <c r="H15" s="1233"/>
      <c r="I15" s="1234">
        <f>інвентар!I8</f>
        <v>9.8656458333333337</v>
      </c>
      <c r="J15" s="1316"/>
    </row>
    <row r="16" spans="1:10" x14ac:dyDescent="0.3">
      <c r="A16" s="566" t="s">
        <v>702</v>
      </c>
      <c r="B16" s="1263" t="s">
        <v>703</v>
      </c>
      <c r="C16" s="1314"/>
      <c r="D16" s="1314"/>
      <c r="E16" s="1315"/>
      <c r="F16" s="261" t="s">
        <v>181</v>
      </c>
      <c r="G16" s="1234">
        <f>I16*12</f>
        <v>53.125199999999992</v>
      </c>
      <c r="H16" s="1316"/>
      <c r="I16" s="1234">
        <f>J68/12</f>
        <v>4.4270999999999994</v>
      </c>
      <c r="J16" s="1316"/>
    </row>
    <row r="17" spans="1:10" x14ac:dyDescent="0.3">
      <c r="A17" s="184">
        <v>5</v>
      </c>
      <c r="B17" s="1230" t="s">
        <v>491</v>
      </c>
      <c r="C17" s="1231"/>
      <c r="D17" s="1231"/>
      <c r="E17" s="1231"/>
      <c r="F17" s="261" t="s">
        <v>181</v>
      </c>
      <c r="G17" s="1232">
        <f>I17*12</f>
        <v>0</v>
      </c>
      <c r="H17" s="1233"/>
      <c r="I17" s="1234">
        <v>0</v>
      </c>
      <c r="J17" s="1210"/>
    </row>
    <row r="18" spans="1:10" ht="44.4" customHeight="1" x14ac:dyDescent="0.3">
      <c r="A18" s="184">
        <v>6</v>
      </c>
      <c r="B18" s="1512" t="s">
        <v>746</v>
      </c>
      <c r="C18" s="1513"/>
      <c r="D18" s="1513"/>
      <c r="E18" s="1513"/>
      <c r="F18" s="184" t="s">
        <v>181</v>
      </c>
      <c r="G18" s="1236">
        <f>G11+G12+G13+G14+G17</f>
        <v>6310.914271942298</v>
      </c>
      <c r="H18" s="1237"/>
      <c r="I18" s="1236">
        <f>I11+I12+I13+I14+I17</f>
        <v>525.9095226618582</v>
      </c>
      <c r="J18" s="1237"/>
    </row>
    <row r="19" spans="1:10" ht="30" customHeight="1" x14ac:dyDescent="0.3">
      <c r="A19" s="184">
        <v>7</v>
      </c>
      <c r="B19" s="1230" t="s">
        <v>939</v>
      </c>
      <c r="C19" s="1231"/>
      <c r="D19" s="1231"/>
      <c r="E19" s="1231"/>
      <c r="F19" s="261" t="s">
        <v>646</v>
      </c>
      <c r="G19" s="1234">
        <v>5600</v>
      </c>
      <c r="H19" s="1522"/>
      <c r="I19" s="1234">
        <f>G19/12</f>
        <v>466.66666666666669</v>
      </c>
      <c r="J19" s="1522"/>
    </row>
    <row r="20" spans="1:10" ht="45" customHeight="1" x14ac:dyDescent="0.3">
      <c r="A20" s="184">
        <v>8</v>
      </c>
      <c r="B20" s="1230" t="s">
        <v>940</v>
      </c>
      <c r="C20" s="1231"/>
      <c r="D20" s="1231"/>
      <c r="E20" s="1231"/>
      <c r="F20" s="261" t="s">
        <v>704</v>
      </c>
      <c r="G20" s="1524">
        <v>2.5999999999999998E-4</v>
      </c>
      <c r="H20" s="1525"/>
      <c r="I20" s="1524">
        <v>2.5999999999999998E-4</v>
      </c>
      <c r="J20" s="1525"/>
    </row>
    <row r="21" spans="1:10" ht="26.4" customHeight="1" x14ac:dyDescent="0.3">
      <c r="A21" s="184">
        <v>9</v>
      </c>
      <c r="B21" s="1230" t="s">
        <v>941</v>
      </c>
      <c r="C21" s="1231"/>
      <c r="D21" s="1231"/>
      <c r="E21" s="1231"/>
      <c r="F21" s="261" t="s">
        <v>181</v>
      </c>
      <c r="G21" s="1234">
        <f>розрахунок!D24</f>
        <v>263.83</v>
      </c>
      <c r="H21" s="1522"/>
      <c r="I21" s="1234">
        <f>розрахунок!D24</f>
        <v>263.83</v>
      </c>
      <c r="J21" s="1522"/>
    </row>
    <row r="22" spans="1:10" ht="41.4" customHeight="1" x14ac:dyDescent="0.3">
      <c r="A22" s="184">
        <v>10</v>
      </c>
      <c r="B22" s="1512" t="s">
        <v>747</v>
      </c>
      <c r="C22" s="1513"/>
      <c r="D22" s="1513"/>
      <c r="E22" s="1513"/>
      <c r="F22" s="261" t="s">
        <v>181</v>
      </c>
      <c r="G22" s="1220">
        <f>G19*G20*G21</f>
        <v>384.13647999999995</v>
      </c>
      <c r="H22" s="1523"/>
      <c r="I22" s="1220">
        <f>I19*I20*I21</f>
        <v>32.011373333333331</v>
      </c>
      <c r="J22" s="1523"/>
    </row>
    <row r="23" spans="1:10" x14ac:dyDescent="0.3">
      <c r="A23" s="184">
        <v>11</v>
      </c>
      <c r="B23" s="1223" t="s">
        <v>669</v>
      </c>
      <c r="C23" s="1235"/>
      <c r="D23" s="1235"/>
      <c r="E23" s="1235"/>
      <c r="F23" s="184" t="s">
        <v>181</v>
      </c>
      <c r="G23" s="1236">
        <f>G18+G22</f>
        <v>6695.0507519422981</v>
      </c>
      <c r="H23" s="1237"/>
      <c r="I23" s="1236">
        <f>I18+I22</f>
        <v>557.92089599519159</v>
      </c>
      <c r="J23" s="1238"/>
    </row>
    <row r="24" spans="1:10" ht="15.6" x14ac:dyDescent="0.3">
      <c r="A24" s="184">
        <v>12</v>
      </c>
      <c r="B24" s="1526" t="s">
        <v>123</v>
      </c>
      <c r="C24" s="1527"/>
      <c r="D24" s="1527"/>
      <c r="E24" s="1527"/>
      <c r="F24" s="184" t="s">
        <v>223</v>
      </c>
      <c r="G24" s="1220">
        <f>Характеристика!N18</f>
        <v>2941.7</v>
      </c>
      <c r="H24" s="1221"/>
      <c r="I24" s="1221"/>
      <c r="J24" s="1222"/>
    </row>
    <row r="25" spans="1:10" x14ac:dyDescent="0.3">
      <c r="A25" s="184">
        <v>13</v>
      </c>
      <c r="B25" s="1223" t="s">
        <v>502</v>
      </c>
      <c r="C25" s="1224"/>
      <c r="D25" s="1224"/>
      <c r="E25" s="1224"/>
      <c r="F25" s="184" t="s">
        <v>181</v>
      </c>
      <c r="G25" s="1225">
        <f>I23/G24</f>
        <v>0.18965934527490622</v>
      </c>
      <c r="H25" s="1226"/>
      <c r="I25" s="1528"/>
      <c r="J25" s="1261"/>
    </row>
    <row r="26" spans="1:10" x14ac:dyDescent="0.3">
      <c r="A26" s="185"/>
      <c r="B26" s="186"/>
      <c r="C26" s="151"/>
      <c r="D26" s="151"/>
      <c r="E26" s="151"/>
      <c r="F26" s="185"/>
      <c r="G26" s="187"/>
      <c r="H26" s="187"/>
      <c r="I26" s="188"/>
      <c r="J26" s="188"/>
    </row>
    <row r="27" spans="1:10" x14ac:dyDescent="0.3">
      <c r="A27" s="183" t="s">
        <v>224</v>
      </c>
      <c r="B27" s="181"/>
      <c r="C27" s="181"/>
      <c r="D27" s="181"/>
      <c r="E27" s="181"/>
      <c r="F27" s="181"/>
      <c r="G27" s="187"/>
      <c r="H27" s="187"/>
      <c r="I27" s="188"/>
      <c r="J27" s="188"/>
    </row>
    <row r="28" spans="1:10" ht="46.8" customHeight="1" x14ac:dyDescent="0.3">
      <c r="A28" s="1229" t="s">
        <v>705</v>
      </c>
      <c r="B28" s="1229"/>
      <c r="C28" s="1229"/>
      <c r="D28" s="1229"/>
      <c r="E28" s="1229"/>
      <c r="F28" s="1229"/>
      <c r="G28" s="1229"/>
      <c r="H28" s="1229"/>
      <c r="I28" s="1229"/>
      <c r="J28" s="1229"/>
    </row>
    <row r="29" spans="1:10" ht="37.200000000000003" customHeight="1" x14ac:dyDescent="0.3">
      <c r="A29" s="1199" t="s">
        <v>508</v>
      </c>
      <c r="B29" s="1200"/>
      <c r="C29" s="1200"/>
      <c r="D29" s="1200"/>
      <c r="E29" s="1200"/>
      <c r="F29" s="1200"/>
      <c r="G29" s="1200"/>
      <c r="H29" s="1200"/>
      <c r="I29" s="1200"/>
      <c r="J29" s="1200"/>
    </row>
    <row r="30" spans="1:10" x14ac:dyDescent="0.3">
      <c r="A30" s="1211" t="s">
        <v>745</v>
      </c>
      <c r="B30" s="1212"/>
      <c r="C30" s="1212"/>
      <c r="D30" s="1212"/>
      <c r="E30" s="1213" t="s">
        <v>226</v>
      </c>
      <c r="F30" s="1213"/>
      <c r="G30" s="189">
        <f>розрахунок!D17</f>
        <v>250</v>
      </c>
      <c r="H30" s="1213" t="s">
        <v>227</v>
      </c>
      <c r="I30" s="1213"/>
      <c r="J30" s="189">
        <f>розрахунок!D19</f>
        <v>1993</v>
      </c>
    </row>
    <row r="31" spans="1:10" x14ac:dyDescent="0.3">
      <c r="A31" s="410"/>
      <c r="B31" s="476"/>
      <c r="C31" s="476"/>
      <c r="D31" s="476"/>
      <c r="E31" s="476"/>
      <c r="F31" s="476"/>
      <c r="G31" s="476"/>
      <c r="H31" s="476"/>
      <c r="I31" s="476"/>
      <c r="J31" s="476"/>
    </row>
    <row r="32" spans="1:10" x14ac:dyDescent="0.3">
      <c r="A32" s="540" t="s">
        <v>228</v>
      </c>
      <c r="B32" s="1496" t="s">
        <v>229</v>
      </c>
      <c r="C32" s="1496"/>
      <c r="D32" s="1496"/>
      <c r="E32" s="1496"/>
      <c r="F32" s="1496"/>
      <c r="G32" s="192"/>
      <c r="H32" s="192"/>
      <c r="I32" s="192"/>
      <c r="J32" s="192"/>
    </row>
    <row r="33" spans="1:10" ht="91.8" x14ac:dyDescent="0.3">
      <c r="A33" s="193" t="s">
        <v>230</v>
      </c>
      <c r="B33" s="1215" t="s">
        <v>231</v>
      </c>
      <c r="C33" s="1216"/>
      <c r="D33" s="194" t="s">
        <v>232</v>
      </c>
      <c r="E33" s="195" t="s">
        <v>233</v>
      </c>
      <c r="F33" s="1217" t="s">
        <v>234</v>
      </c>
      <c r="G33" s="1216"/>
      <c r="H33" s="196" t="s">
        <v>235</v>
      </c>
      <c r="I33" s="197" t="s">
        <v>236</v>
      </c>
      <c r="J33" s="197" t="s">
        <v>237</v>
      </c>
    </row>
    <row r="34" spans="1:10" x14ac:dyDescent="0.3">
      <c r="A34" s="198">
        <v>1</v>
      </c>
      <c r="B34" s="1204">
        <v>2</v>
      </c>
      <c r="C34" s="1205"/>
      <c r="D34" s="199">
        <v>3</v>
      </c>
      <c r="E34" s="199">
        <v>4</v>
      </c>
      <c r="F34" s="1206">
        <v>5</v>
      </c>
      <c r="G34" s="1207"/>
      <c r="H34" s="199">
        <v>6</v>
      </c>
      <c r="I34" s="199">
        <v>7</v>
      </c>
      <c r="J34" s="199">
        <v>8</v>
      </c>
    </row>
    <row r="35" spans="1:10" x14ac:dyDescent="0.3">
      <c r="A35" s="200">
        <v>1</v>
      </c>
      <c r="B35" s="1532" t="s">
        <v>706</v>
      </c>
      <c r="C35" s="1533"/>
      <c r="D35" s="717"/>
      <c r="E35" s="717"/>
      <c r="F35" s="717"/>
      <c r="G35" s="717"/>
      <c r="H35" s="567"/>
      <c r="I35" s="568"/>
      <c r="J35" s="569"/>
    </row>
    <row r="36" spans="1:10" ht="37.200000000000003" customHeight="1" x14ac:dyDescent="0.3">
      <c r="A36" s="200"/>
      <c r="B36" s="1529" t="s">
        <v>707</v>
      </c>
      <c r="C36" s="1140"/>
      <c r="D36" s="201">
        <v>130</v>
      </c>
      <c r="E36" s="236">
        <v>10</v>
      </c>
      <c r="F36" s="1530">
        <v>0.7</v>
      </c>
      <c r="G36" s="1531"/>
      <c r="H36" s="201">
        <f t="shared" ref="H36:H44" si="0">D36/100*F36*E36</f>
        <v>9.1</v>
      </c>
      <c r="I36" s="233">
        <v>2</v>
      </c>
      <c r="J36" s="570" t="s">
        <v>708</v>
      </c>
    </row>
    <row r="37" spans="1:10" ht="32.4" hidden="1" customHeight="1" x14ac:dyDescent="0.3">
      <c r="A37" s="200"/>
      <c r="B37" s="1529"/>
      <c r="C37" s="1140"/>
      <c r="D37" s="201"/>
      <c r="E37" s="236"/>
      <c r="F37" s="1530"/>
      <c r="G37" s="1531"/>
      <c r="H37" s="201"/>
      <c r="I37" s="233"/>
      <c r="J37" s="570"/>
    </row>
    <row r="38" spans="1:10" ht="40.200000000000003" hidden="1" customHeight="1" x14ac:dyDescent="0.3">
      <c r="A38" s="200"/>
      <c r="B38" s="1529" t="s">
        <v>709</v>
      </c>
      <c r="C38" s="1140"/>
      <c r="D38" s="201"/>
      <c r="E38" s="236">
        <v>6</v>
      </c>
      <c r="F38" s="1530">
        <v>1.1000000000000001</v>
      </c>
      <c r="G38" s="1531"/>
      <c r="H38" s="201">
        <f t="shared" si="0"/>
        <v>0</v>
      </c>
      <c r="I38" s="233">
        <v>2</v>
      </c>
      <c r="J38" s="570" t="s">
        <v>710</v>
      </c>
    </row>
    <row r="39" spans="1:10" ht="34.799999999999997" hidden="1" customHeight="1" x14ac:dyDescent="0.3">
      <c r="A39" s="200"/>
      <c r="B39" s="1529" t="s">
        <v>711</v>
      </c>
      <c r="C39" s="1140"/>
      <c r="D39" s="201"/>
      <c r="E39" s="236">
        <v>6</v>
      </c>
      <c r="F39" s="1530">
        <v>0.9</v>
      </c>
      <c r="G39" s="1531"/>
      <c r="H39" s="201">
        <f t="shared" si="0"/>
        <v>0</v>
      </c>
      <c r="I39" s="233">
        <v>2</v>
      </c>
      <c r="J39" s="570" t="s">
        <v>712</v>
      </c>
    </row>
    <row r="40" spans="1:10" ht="38.4" hidden="1" customHeight="1" x14ac:dyDescent="0.3">
      <c r="A40" s="200"/>
      <c r="B40" s="1529" t="s">
        <v>713</v>
      </c>
      <c r="C40" s="1140"/>
      <c r="D40" s="201"/>
      <c r="E40" s="236">
        <v>6</v>
      </c>
      <c r="F40" s="1530">
        <v>1.1000000000000001</v>
      </c>
      <c r="G40" s="1531"/>
      <c r="H40" s="201">
        <f t="shared" si="0"/>
        <v>0</v>
      </c>
      <c r="I40" s="233">
        <v>2</v>
      </c>
      <c r="J40" s="570" t="s">
        <v>714</v>
      </c>
    </row>
    <row r="41" spans="1:10" ht="38.4" hidden="1" customHeight="1" x14ac:dyDescent="0.3">
      <c r="A41" s="200"/>
      <c r="B41" s="1529" t="s">
        <v>715</v>
      </c>
      <c r="C41" s="1140"/>
      <c r="D41" s="201"/>
      <c r="E41" s="236">
        <v>6</v>
      </c>
      <c r="F41" s="1530">
        <v>1.35</v>
      </c>
      <c r="G41" s="1531"/>
      <c r="H41" s="201">
        <f t="shared" si="0"/>
        <v>0</v>
      </c>
      <c r="I41" s="233">
        <v>2</v>
      </c>
      <c r="J41" s="570" t="s">
        <v>716</v>
      </c>
    </row>
    <row r="42" spans="1:10" ht="32.4" customHeight="1" x14ac:dyDescent="0.3">
      <c r="A42" s="200" t="s">
        <v>240</v>
      </c>
      <c r="B42" s="1472" t="s">
        <v>717</v>
      </c>
      <c r="C42" s="1538"/>
      <c r="D42" s="201">
        <v>130</v>
      </c>
      <c r="E42" s="236">
        <v>10</v>
      </c>
      <c r="F42" s="1183">
        <v>0.18</v>
      </c>
      <c r="G42" s="1539"/>
      <c r="H42" s="201">
        <f t="shared" si="0"/>
        <v>2.34</v>
      </c>
      <c r="I42" s="541">
        <v>2</v>
      </c>
      <c r="J42" s="570" t="s">
        <v>718</v>
      </c>
    </row>
    <row r="43" spans="1:10" ht="30" hidden="1" customHeight="1" x14ac:dyDescent="0.3">
      <c r="A43" s="200"/>
      <c r="B43" s="1529" t="s">
        <v>719</v>
      </c>
      <c r="C43" s="1140"/>
      <c r="D43" s="201"/>
      <c r="E43" s="236">
        <v>6</v>
      </c>
      <c r="F43" s="1530">
        <v>1</v>
      </c>
      <c r="G43" s="1531"/>
      <c r="H43" s="201">
        <f t="shared" si="0"/>
        <v>0</v>
      </c>
      <c r="I43" s="233">
        <v>2</v>
      </c>
      <c r="J43" s="570" t="s">
        <v>720</v>
      </c>
    </row>
    <row r="44" spans="1:10" ht="45" hidden="1" customHeight="1" x14ac:dyDescent="0.3">
      <c r="A44" s="200"/>
      <c r="B44" s="1529" t="s">
        <v>721</v>
      </c>
      <c r="C44" s="1140"/>
      <c r="D44" s="201">
        <f>[1]Таблица_Характеристика!M58+[1]Таблица_Характеристика!N58</f>
        <v>0</v>
      </c>
      <c r="E44" s="236">
        <v>6</v>
      </c>
      <c r="F44" s="1530">
        <v>1.2</v>
      </c>
      <c r="G44" s="1531"/>
      <c r="H44" s="201">
        <f t="shared" si="0"/>
        <v>0</v>
      </c>
      <c r="I44" s="233">
        <v>2</v>
      </c>
      <c r="J44" s="570" t="s">
        <v>722</v>
      </c>
    </row>
    <row r="45" spans="1:10" hidden="1" x14ac:dyDescent="0.3">
      <c r="A45" s="200" t="s">
        <v>240</v>
      </c>
      <c r="B45" s="1534" t="s">
        <v>723</v>
      </c>
      <c r="C45" s="1535"/>
      <c r="D45" s="1536"/>
      <c r="E45" s="1536"/>
      <c r="F45" s="1536"/>
      <c r="G45" s="1536"/>
      <c r="H45" s="1537"/>
      <c r="I45" s="233"/>
      <c r="J45" s="570"/>
    </row>
    <row r="46" spans="1:10" ht="34.799999999999997" hidden="1" customHeight="1" x14ac:dyDescent="0.3">
      <c r="A46" s="200"/>
      <c r="B46" s="1192" t="s">
        <v>724</v>
      </c>
      <c r="C46" s="1486"/>
      <c r="D46" s="201"/>
      <c r="E46" s="236">
        <v>6</v>
      </c>
      <c r="F46" s="1183">
        <v>8.33</v>
      </c>
      <c r="G46" s="1382"/>
      <c r="H46" s="201"/>
      <c r="I46" s="233">
        <v>18</v>
      </c>
      <c r="J46" s="570" t="s">
        <v>725</v>
      </c>
    </row>
    <row r="47" spans="1:10" ht="35.4" customHeight="1" x14ac:dyDescent="0.3">
      <c r="A47" s="200" t="s">
        <v>244</v>
      </c>
      <c r="B47" s="1201" t="s">
        <v>726</v>
      </c>
      <c r="C47" s="1540"/>
      <c r="D47" s="205">
        <v>10</v>
      </c>
      <c r="E47" s="571">
        <v>20</v>
      </c>
      <c r="F47" s="1541">
        <v>3.6</v>
      </c>
      <c r="G47" s="1542"/>
      <c r="H47" s="205">
        <f>F47/100*D47*E47</f>
        <v>7.2000000000000011</v>
      </c>
      <c r="I47" s="199">
        <v>3</v>
      </c>
      <c r="J47" s="572" t="s">
        <v>727</v>
      </c>
    </row>
    <row r="48" spans="1:10" ht="35.4" customHeight="1" x14ac:dyDescent="0.3">
      <c r="A48" s="200" t="s">
        <v>245</v>
      </c>
      <c r="B48" s="1201" t="s">
        <v>728</v>
      </c>
      <c r="C48" s="1540"/>
      <c r="D48" s="205">
        <v>100</v>
      </c>
      <c r="E48" s="571">
        <v>10</v>
      </c>
      <c r="F48" s="1541">
        <v>0.69</v>
      </c>
      <c r="G48" s="1542"/>
      <c r="H48" s="205">
        <f>F48/10*D48*E48</f>
        <v>69</v>
      </c>
      <c r="I48" s="199">
        <v>9</v>
      </c>
      <c r="J48" s="572" t="s">
        <v>729</v>
      </c>
    </row>
    <row r="49" spans="1:10" ht="33.6" customHeight="1" x14ac:dyDescent="0.3">
      <c r="A49" s="200" t="s">
        <v>260</v>
      </c>
      <c r="B49" s="1201" t="s">
        <v>730</v>
      </c>
      <c r="C49" s="1540"/>
      <c r="D49" s="205">
        <v>6</v>
      </c>
      <c r="E49" s="571">
        <v>10</v>
      </c>
      <c r="F49" s="1541">
        <v>0.6</v>
      </c>
      <c r="G49" s="1542"/>
      <c r="H49" s="205">
        <f>F49/10*D49*E49</f>
        <v>3.5999999999999996</v>
      </c>
      <c r="I49" s="199">
        <v>13</v>
      </c>
      <c r="J49" s="572" t="s">
        <v>731</v>
      </c>
    </row>
    <row r="50" spans="1:10" ht="33.6" customHeight="1" x14ac:dyDescent="0.3">
      <c r="A50" s="200" t="s">
        <v>263</v>
      </c>
      <c r="B50" s="1201" t="s">
        <v>916</v>
      </c>
      <c r="C50" s="1540"/>
      <c r="D50" s="205">
        <v>60</v>
      </c>
      <c r="E50" s="571">
        <v>20</v>
      </c>
      <c r="F50" s="1541">
        <v>0.2</v>
      </c>
      <c r="G50" s="1542"/>
      <c r="H50" s="205">
        <f>F50/100*D50*E50</f>
        <v>2.4</v>
      </c>
      <c r="I50" s="199">
        <v>20</v>
      </c>
      <c r="J50" s="572" t="s">
        <v>480</v>
      </c>
    </row>
    <row r="51" spans="1:10" x14ac:dyDescent="0.3">
      <c r="A51" s="219"/>
      <c r="B51" s="1173" t="s">
        <v>266</v>
      </c>
      <c r="C51" s="1174"/>
      <c r="D51" s="220"/>
      <c r="E51" s="221"/>
      <c r="F51" s="1175"/>
      <c r="G51" s="1175"/>
      <c r="H51" s="222">
        <f>SUM(H36:H50)</f>
        <v>93.64</v>
      </c>
      <c r="I51" s="223"/>
      <c r="J51" s="224"/>
    </row>
    <row r="52" spans="1:10" x14ac:dyDescent="0.3">
      <c r="A52" s="225"/>
      <c r="B52" s="226"/>
      <c r="C52" s="226"/>
      <c r="D52" s="225"/>
      <c r="E52" s="225"/>
      <c r="F52" s="225"/>
      <c r="G52" s="225"/>
      <c r="H52" s="227"/>
      <c r="I52" s="228"/>
      <c r="J52" s="228"/>
    </row>
    <row r="53" spans="1:10" x14ac:dyDescent="0.3">
      <c r="A53" s="1164" t="s">
        <v>268</v>
      </c>
      <c r="B53" s="1180"/>
      <c r="C53" s="1180"/>
      <c r="D53" s="1180"/>
      <c r="E53" s="1180"/>
      <c r="F53" s="1180"/>
      <c r="G53" s="1180"/>
      <c r="H53" s="1180"/>
      <c r="I53" s="1180"/>
      <c r="J53" s="1180"/>
    </row>
    <row r="54" spans="1:10" ht="72" x14ac:dyDescent="0.3">
      <c r="A54" s="1478" t="s">
        <v>190</v>
      </c>
      <c r="B54" s="1168"/>
      <c r="C54" s="229" t="s">
        <v>269</v>
      </c>
      <c r="D54" s="230" t="s">
        <v>270</v>
      </c>
      <c r="E54" s="231" t="s">
        <v>271</v>
      </c>
      <c r="F54" s="232" t="s">
        <v>272</v>
      </c>
      <c r="G54" s="232" t="s">
        <v>273</v>
      </c>
      <c r="H54" s="231" t="s">
        <v>274</v>
      </c>
      <c r="I54" s="1167" t="s">
        <v>732</v>
      </c>
      <c r="J54" s="1187"/>
    </row>
    <row r="55" spans="1:10" x14ac:dyDescent="0.3">
      <c r="A55" s="1285">
        <v>1</v>
      </c>
      <c r="B55" s="1168"/>
      <c r="C55" s="230">
        <v>2</v>
      </c>
      <c r="D55" s="233">
        <v>3</v>
      </c>
      <c r="E55" s="233">
        <v>4</v>
      </c>
      <c r="F55" s="233">
        <v>5</v>
      </c>
      <c r="G55" s="234"/>
      <c r="H55" s="233">
        <v>6</v>
      </c>
      <c r="I55" s="1169">
        <v>7</v>
      </c>
      <c r="J55" s="1170"/>
    </row>
    <row r="56" spans="1:10" x14ac:dyDescent="0.3">
      <c r="A56" s="1251" t="s">
        <v>197</v>
      </c>
      <c r="B56" s="770"/>
      <c r="C56" s="235">
        <f>H51</f>
        <v>93.64</v>
      </c>
      <c r="D56" s="236">
        <f>J30</f>
        <v>1993</v>
      </c>
      <c r="E56" s="201">
        <f>ROUND(C56/D56,2)</f>
        <v>0.05</v>
      </c>
      <c r="F56" s="201">
        <f>оклади!K7</f>
        <v>4173</v>
      </c>
      <c r="G56" s="208">
        <f>E56*F56</f>
        <v>208.65</v>
      </c>
      <c r="H56" s="201">
        <f>G56*0.13</f>
        <v>27.124500000000001</v>
      </c>
      <c r="I56" s="1171">
        <f>G56*1.09+H56</f>
        <v>254.55300000000003</v>
      </c>
      <c r="J56" s="1172"/>
    </row>
    <row r="57" spans="1:10" x14ac:dyDescent="0.3">
      <c r="A57" s="557"/>
      <c r="B57" s="503"/>
      <c r="C57" s="573"/>
      <c r="D57" s="574"/>
      <c r="E57" s="574"/>
      <c r="F57" s="574"/>
      <c r="G57" s="575"/>
      <c r="H57" s="574"/>
      <c r="I57" s="574"/>
      <c r="J57" s="576"/>
    </row>
    <row r="58" spans="1:10" x14ac:dyDescent="0.3">
      <c r="A58" s="1543" t="s">
        <v>625</v>
      </c>
      <c r="B58" s="1543"/>
      <c r="C58" s="1543"/>
      <c r="D58" s="1543"/>
      <c r="E58" s="1543"/>
      <c r="F58" s="1543"/>
      <c r="G58" s="1543"/>
      <c r="H58" s="1543"/>
      <c r="I58" s="1543"/>
      <c r="J58" s="1543"/>
    </row>
    <row r="59" spans="1:10" ht="60" x14ac:dyDescent="0.3">
      <c r="A59" s="1155" t="s">
        <v>277</v>
      </c>
      <c r="B59" s="1165"/>
      <c r="C59" s="231" t="s">
        <v>278</v>
      </c>
      <c r="D59" s="1155" t="s">
        <v>497</v>
      </c>
      <c r="E59" s="770"/>
      <c r="F59" s="231" t="s">
        <v>280</v>
      </c>
      <c r="G59" s="1155" t="s">
        <v>733</v>
      </c>
      <c r="H59" s="770"/>
      <c r="I59" s="1155" t="s">
        <v>734</v>
      </c>
      <c r="J59" s="770"/>
    </row>
    <row r="60" spans="1:10" x14ac:dyDescent="0.3">
      <c r="A60" s="1155">
        <v>1</v>
      </c>
      <c r="B60" s="1165"/>
      <c r="C60" s="231">
        <v>2</v>
      </c>
      <c r="D60" s="1155">
        <v>3</v>
      </c>
      <c r="E60" s="770"/>
      <c r="F60" s="231">
        <v>4</v>
      </c>
      <c r="G60" s="1155">
        <v>5</v>
      </c>
      <c r="H60" s="770"/>
      <c r="I60" s="1155">
        <v>6</v>
      </c>
      <c r="J60" s="770"/>
    </row>
    <row r="61" spans="1:10" ht="44.4" customHeight="1" x14ac:dyDescent="0.3">
      <c r="A61" s="1251" t="s">
        <v>283</v>
      </c>
      <c r="B61" s="1251"/>
      <c r="C61" s="404">
        <f>сход.клітки!C73</f>
        <v>1782768</v>
      </c>
      <c r="D61" s="1157">
        <f>сход.клітки!D73</f>
        <v>4193729</v>
      </c>
      <c r="E61" s="770"/>
      <c r="F61" s="473">
        <f>C61/D61*100</f>
        <v>42.51032911282536</v>
      </c>
      <c r="G61" s="1157">
        <f>I56</f>
        <v>254.55300000000003</v>
      </c>
      <c r="H61" s="770"/>
      <c r="I61" s="1157">
        <f>F61*G61/100</f>
        <v>108.21131806657034</v>
      </c>
      <c r="J61" s="770"/>
    </row>
    <row r="62" spans="1:10" ht="22.2" customHeight="1" x14ac:dyDescent="0.3">
      <c r="A62" s="1251" t="s">
        <v>735</v>
      </c>
      <c r="B62" s="1251"/>
      <c r="C62" s="404">
        <f>сход.клітки!C74</f>
        <v>2914645</v>
      </c>
      <c r="D62" s="1157">
        <f>сход.клітки!D74</f>
        <v>14598843</v>
      </c>
      <c r="E62" s="770"/>
      <c r="F62" s="473">
        <f>C62/D62*100</f>
        <v>19.964904068082657</v>
      </c>
      <c r="G62" s="1157">
        <f>I11+I12+I14+I17+I22+I61</f>
        <v>465.07009723323705</v>
      </c>
      <c r="H62" s="770"/>
      <c r="I62" s="1157">
        <f>F62*G62/100</f>
        <v>92.850798761954508</v>
      </c>
      <c r="J62" s="770"/>
    </row>
    <row r="63" spans="1:10" x14ac:dyDescent="0.3">
      <c r="A63" s="1253" t="s">
        <v>222</v>
      </c>
      <c r="B63" s="1253"/>
      <c r="C63" s="405"/>
      <c r="D63" s="1160"/>
      <c r="E63" s="1520"/>
      <c r="F63" s="474"/>
      <c r="G63" s="1160"/>
      <c r="H63" s="1520"/>
      <c r="I63" s="1160">
        <f>SUM(I61:I62)</f>
        <v>201.06211682852484</v>
      </c>
      <c r="J63" s="1520"/>
    </row>
    <row r="64" spans="1:10" x14ac:dyDescent="0.3">
      <c r="A64" s="151"/>
      <c r="B64" s="151"/>
      <c r="C64" s="151"/>
      <c r="D64" s="151"/>
      <c r="E64" s="151"/>
      <c r="F64" s="151"/>
      <c r="G64" s="151"/>
      <c r="H64" s="151"/>
      <c r="I64" s="151"/>
      <c r="J64" s="151"/>
    </row>
    <row r="65" spans="1:10" x14ac:dyDescent="0.3">
      <c r="A65" s="183" t="s">
        <v>736</v>
      </c>
      <c r="B65" s="183"/>
      <c r="C65" s="183"/>
      <c r="D65" s="183"/>
      <c r="E65" s="183"/>
      <c r="F65" s="183"/>
      <c r="G65" s="183"/>
      <c r="H65" s="183"/>
      <c r="I65" s="183"/>
      <c r="J65" s="183"/>
    </row>
    <row r="66" spans="1:10" ht="105.6" x14ac:dyDescent="0.3">
      <c r="A66" s="1175" t="s">
        <v>737</v>
      </c>
      <c r="B66" s="1175"/>
      <c r="C66" s="1175"/>
      <c r="D66" s="194" t="s">
        <v>232</v>
      </c>
      <c r="E66" s="195" t="s">
        <v>233</v>
      </c>
      <c r="F66" s="467" t="s">
        <v>738</v>
      </c>
      <c r="G66" s="1287" t="s">
        <v>739</v>
      </c>
      <c r="H66" s="1287"/>
      <c r="I66" s="467" t="s">
        <v>740</v>
      </c>
      <c r="J66" s="467" t="s">
        <v>741</v>
      </c>
    </row>
    <row r="67" spans="1:10" x14ac:dyDescent="0.3">
      <c r="A67" s="1175">
        <v>1</v>
      </c>
      <c r="B67" s="1175"/>
      <c r="C67" s="1175"/>
      <c r="D67" s="194">
        <v>2</v>
      </c>
      <c r="E67" s="197">
        <v>3</v>
      </c>
      <c r="F67" s="467">
        <v>4</v>
      </c>
      <c r="G67" s="1287">
        <v>5</v>
      </c>
      <c r="H67" s="1287"/>
      <c r="I67" s="412">
        <v>6</v>
      </c>
      <c r="J67" s="412">
        <v>7</v>
      </c>
    </row>
    <row r="68" spans="1:10" x14ac:dyDescent="0.3">
      <c r="A68" s="1268" t="s">
        <v>742</v>
      </c>
      <c r="B68" s="1268"/>
      <c r="C68" s="1268"/>
      <c r="D68" s="472">
        <f>Характеристика!H44</f>
        <v>60</v>
      </c>
      <c r="E68" s="409">
        <v>20</v>
      </c>
      <c r="F68" s="409">
        <v>1.4999999999999999E-2</v>
      </c>
      <c r="G68" s="1269">
        <f>D68/100*E68*F68</f>
        <v>0.18</v>
      </c>
      <c r="H68" s="1269"/>
      <c r="I68" s="472">
        <f>розрахунок!D23</f>
        <v>295.14</v>
      </c>
      <c r="J68" s="472">
        <f>G68*I68</f>
        <v>53.125199999999992</v>
      </c>
    </row>
  </sheetData>
  <mergeCells count="128">
    <mergeCell ref="G1:J1"/>
    <mergeCell ref="G2:J2"/>
    <mergeCell ref="G3:J3"/>
    <mergeCell ref="I4:J4"/>
    <mergeCell ref="A6:J6"/>
    <mergeCell ref="A7:J7"/>
    <mergeCell ref="A66:C66"/>
    <mergeCell ref="G66:H66"/>
    <mergeCell ref="A67:C67"/>
    <mergeCell ref="G67:H67"/>
    <mergeCell ref="A60:B60"/>
    <mergeCell ref="D60:E60"/>
    <mergeCell ref="G60:H60"/>
    <mergeCell ref="I60:J60"/>
    <mergeCell ref="A61:B61"/>
    <mergeCell ref="D61:E61"/>
    <mergeCell ref="G61:H61"/>
    <mergeCell ref="I61:J61"/>
    <mergeCell ref="A55:B55"/>
    <mergeCell ref="I55:J55"/>
    <mergeCell ref="A56:B56"/>
    <mergeCell ref="I56:J56"/>
    <mergeCell ref="A58:J58"/>
    <mergeCell ref="A59:B59"/>
    <mergeCell ref="A68:C68"/>
    <mergeCell ref="G68:H68"/>
    <mergeCell ref="A62:B62"/>
    <mergeCell ref="D62:E62"/>
    <mergeCell ref="G62:H62"/>
    <mergeCell ref="I62:J62"/>
    <mergeCell ref="A63:B63"/>
    <mergeCell ref="D63:E63"/>
    <mergeCell ref="G63:H63"/>
    <mergeCell ref="I63:J63"/>
    <mergeCell ref="D59:E59"/>
    <mergeCell ref="G59:H59"/>
    <mergeCell ref="I59:J59"/>
    <mergeCell ref="B51:C51"/>
    <mergeCell ref="F51:G51"/>
    <mergeCell ref="A53:J53"/>
    <mergeCell ref="A54:B54"/>
    <mergeCell ref="I54:J54"/>
    <mergeCell ref="B47:C47"/>
    <mergeCell ref="F47:G47"/>
    <mergeCell ref="B48:C48"/>
    <mergeCell ref="F48:G48"/>
    <mergeCell ref="B49:C49"/>
    <mergeCell ref="F49:G49"/>
    <mergeCell ref="B50:C50"/>
    <mergeCell ref="F50:G50"/>
    <mergeCell ref="B43:C43"/>
    <mergeCell ref="F43:G43"/>
    <mergeCell ref="B44:C44"/>
    <mergeCell ref="F44:G44"/>
    <mergeCell ref="B45:H45"/>
    <mergeCell ref="B46:C46"/>
    <mergeCell ref="F46:G46"/>
    <mergeCell ref="B40:C40"/>
    <mergeCell ref="F40:G40"/>
    <mergeCell ref="B41:C41"/>
    <mergeCell ref="F41:G41"/>
    <mergeCell ref="B42:C42"/>
    <mergeCell ref="F42:G42"/>
    <mergeCell ref="B37:C37"/>
    <mergeCell ref="F37:G37"/>
    <mergeCell ref="B38:C38"/>
    <mergeCell ref="F38:G38"/>
    <mergeCell ref="B39:C39"/>
    <mergeCell ref="F39:G39"/>
    <mergeCell ref="B33:C33"/>
    <mergeCell ref="F33:G33"/>
    <mergeCell ref="B34:C34"/>
    <mergeCell ref="F34:G34"/>
    <mergeCell ref="B35:G35"/>
    <mergeCell ref="B36:C36"/>
    <mergeCell ref="F36:G36"/>
    <mergeCell ref="A28:J28"/>
    <mergeCell ref="A29:J29"/>
    <mergeCell ref="A30:D30"/>
    <mergeCell ref="E30:F30"/>
    <mergeCell ref="H30:I30"/>
    <mergeCell ref="B32:F32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7" orientation="portrait" r:id="rId1"/>
  <rowBreaks count="1" manualBreakCount="1">
    <brk id="31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4" zoomScaleNormal="100" workbookViewId="0">
      <selection activeCell="B10" sqref="B10:D10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КанівШевченка21</v>
      </c>
      <c r="D1" s="1246" t="s">
        <v>214</v>
      </c>
      <c r="E1" s="1246"/>
      <c r="F1" s="1246"/>
      <c r="G1" s="1246"/>
    </row>
    <row r="2" spans="1:10" x14ac:dyDescent="0.3">
      <c r="D2" s="1246" t="s">
        <v>108</v>
      </c>
      <c r="E2" s="1246"/>
      <c r="F2" s="1246"/>
      <c r="G2" s="1246"/>
    </row>
    <row r="3" spans="1:10" x14ac:dyDescent="0.3">
      <c r="D3" s="1247" t="s">
        <v>638</v>
      </c>
      <c r="E3" s="1247"/>
      <c r="F3" s="1247"/>
      <c r="G3" s="1247"/>
    </row>
    <row r="4" spans="1:10" x14ac:dyDescent="0.3">
      <c r="D4" s="252"/>
      <c r="E4" s="253"/>
      <c r="F4" s="1248" t="s">
        <v>296</v>
      </c>
      <c r="G4" s="1248"/>
    </row>
    <row r="6" spans="1:10" x14ac:dyDescent="0.3">
      <c r="A6" s="1249" t="s">
        <v>300</v>
      </c>
      <c r="B6" s="1249"/>
      <c r="C6" s="1249"/>
      <c r="D6" s="1249"/>
      <c r="E6" s="1249"/>
      <c r="F6" s="1249"/>
      <c r="G6" s="1249"/>
      <c r="H6" s="533"/>
      <c r="I6" s="533"/>
      <c r="J6" s="533"/>
    </row>
    <row r="7" spans="1:10" x14ac:dyDescent="0.3">
      <c r="A7" s="1470" t="s">
        <v>753</v>
      </c>
      <c r="B7" s="1470"/>
      <c r="C7" s="1470"/>
      <c r="D7" s="1470"/>
      <c r="E7" s="1470"/>
      <c r="F7" s="1470"/>
      <c r="G7" s="1470"/>
    </row>
    <row r="9" spans="1:10" ht="52.8" x14ac:dyDescent="0.3">
      <c r="A9" s="483" t="s">
        <v>216</v>
      </c>
      <c r="B9" s="1243" t="s">
        <v>749</v>
      </c>
      <c r="C9" s="770"/>
      <c r="D9" s="770"/>
      <c r="E9" s="477" t="s">
        <v>218</v>
      </c>
      <c r="F9" s="483" t="s">
        <v>219</v>
      </c>
      <c r="G9" s="477" t="s">
        <v>755</v>
      </c>
    </row>
    <row r="10" spans="1:10" ht="30.6" customHeight="1" x14ac:dyDescent="0.3">
      <c r="A10" s="152">
        <v>1</v>
      </c>
      <c r="B10" s="1140" t="s">
        <v>937</v>
      </c>
      <c r="C10" s="770"/>
      <c r="D10" s="770"/>
      <c r="E10" s="577" t="s">
        <v>646</v>
      </c>
      <c r="F10" s="1546">
        <f>розрахунок!D9</f>
        <v>500</v>
      </c>
      <c r="G10" s="770"/>
    </row>
    <row r="11" spans="1:10" ht="33.6" customHeight="1" x14ac:dyDescent="0.3">
      <c r="A11" s="152">
        <v>2</v>
      </c>
      <c r="B11" s="1140" t="s">
        <v>754</v>
      </c>
      <c r="C11" s="770"/>
      <c r="D11" s="770"/>
      <c r="E11" s="577" t="s">
        <v>181</v>
      </c>
      <c r="F11" s="1547">
        <f>Характеристика!M98</f>
        <v>0.1075</v>
      </c>
      <c r="G11" s="1548"/>
    </row>
    <row r="12" spans="1:10" x14ac:dyDescent="0.3">
      <c r="A12" s="152">
        <v>3</v>
      </c>
      <c r="B12" s="1140" t="s">
        <v>504</v>
      </c>
      <c r="C12" s="770"/>
      <c r="D12" s="770"/>
      <c r="E12" s="577" t="s">
        <v>181</v>
      </c>
      <c r="F12" s="577">
        <f>G12*12</f>
        <v>128.77363123913315</v>
      </c>
      <c r="G12" s="578">
        <f>G22</f>
        <v>10.731135936594429</v>
      </c>
    </row>
    <row r="13" spans="1:10" x14ac:dyDescent="0.3">
      <c r="A13" s="152">
        <v>4</v>
      </c>
      <c r="B13" s="1545" t="s">
        <v>669</v>
      </c>
      <c r="C13" s="770"/>
      <c r="D13" s="770"/>
      <c r="E13" s="579" t="s">
        <v>181</v>
      </c>
      <c r="F13" s="579">
        <f>G13*12</f>
        <v>773.77363123913312</v>
      </c>
      <c r="G13" s="580">
        <f>F10*F11+G12</f>
        <v>64.481135936594427</v>
      </c>
    </row>
    <row r="14" spans="1:10" ht="15.6" x14ac:dyDescent="0.3">
      <c r="A14" s="152">
        <v>5</v>
      </c>
      <c r="B14" s="1549" t="s">
        <v>123</v>
      </c>
      <c r="C14" s="1550"/>
      <c r="D14" s="1550"/>
      <c r="E14" s="579" t="s">
        <v>646</v>
      </c>
      <c r="F14" s="1551">
        <f>Характеристика!N18</f>
        <v>2941.7</v>
      </c>
      <c r="G14" s="1520"/>
    </row>
    <row r="15" spans="1:10" x14ac:dyDescent="0.3">
      <c r="A15" s="152">
        <v>6</v>
      </c>
      <c r="B15" s="1223" t="s">
        <v>502</v>
      </c>
      <c r="C15" s="770"/>
      <c r="D15" s="770"/>
      <c r="E15" s="220" t="s">
        <v>181</v>
      </c>
      <c r="F15" s="1552">
        <f>G13/F14</f>
        <v>2.1919684514598508E-2</v>
      </c>
      <c r="G15" s="770"/>
    </row>
    <row r="16" spans="1:10" x14ac:dyDescent="0.3">
      <c r="A16" s="150"/>
      <c r="B16" s="539"/>
      <c r="C16" s="37"/>
      <c r="D16" s="37"/>
      <c r="E16" s="518"/>
      <c r="F16" s="518"/>
      <c r="G16" s="581"/>
    </row>
    <row r="17" spans="1:7" x14ac:dyDescent="0.3">
      <c r="A17" s="1544" t="s">
        <v>625</v>
      </c>
      <c r="B17" s="1257"/>
      <c r="C17" s="1257"/>
      <c r="D17" s="1257"/>
      <c r="E17" s="1257"/>
      <c r="F17" s="1257"/>
      <c r="G17" s="1257"/>
    </row>
    <row r="18" spans="1:7" ht="84" x14ac:dyDescent="0.3">
      <c r="A18" s="1167" t="s">
        <v>277</v>
      </c>
      <c r="B18" s="1284"/>
      <c r="C18" s="232" t="s">
        <v>278</v>
      </c>
      <c r="D18" s="232" t="s">
        <v>750</v>
      </c>
      <c r="E18" s="231" t="s">
        <v>280</v>
      </c>
      <c r="F18" s="232" t="s">
        <v>751</v>
      </c>
      <c r="G18" s="231" t="s">
        <v>752</v>
      </c>
    </row>
    <row r="19" spans="1:7" x14ac:dyDescent="0.3">
      <c r="A19" s="1167">
        <v>1</v>
      </c>
      <c r="B19" s="1284"/>
      <c r="C19" s="232">
        <v>2</v>
      </c>
      <c r="D19" s="232">
        <v>3</v>
      </c>
      <c r="E19" s="232">
        <v>4</v>
      </c>
      <c r="F19" s="232">
        <v>5</v>
      </c>
      <c r="G19" s="231">
        <v>6</v>
      </c>
    </row>
    <row r="20" spans="1:7" ht="23.4" customHeight="1" x14ac:dyDescent="0.3">
      <c r="A20" s="1385" t="s">
        <v>283</v>
      </c>
      <c r="B20" s="1386"/>
      <c r="C20" s="404">
        <f>прибирання!C49</f>
        <v>1782768</v>
      </c>
      <c r="D20" s="243">
        <f>прибирання!D49</f>
        <v>4193729</v>
      </c>
      <c r="E20" s="464">
        <f>C20/D20*100</f>
        <v>42.51032911282536</v>
      </c>
      <c r="F20" s="480">
        <v>0</v>
      </c>
      <c r="G20" s="243">
        <f>E20*F20/100</f>
        <v>0</v>
      </c>
    </row>
    <row r="21" spans="1:7" ht="28.2" customHeight="1" x14ac:dyDescent="0.3">
      <c r="A21" s="1385" t="s">
        <v>284</v>
      </c>
      <c r="B21" s="1386"/>
      <c r="C21" s="404">
        <f>прибирання!C50</f>
        <v>2914645</v>
      </c>
      <c r="D21" s="243">
        <f>прибирання!D50</f>
        <v>14598843</v>
      </c>
      <c r="E21" s="464">
        <f>C21/D21*100</f>
        <v>19.964904068082657</v>
      </c>
      <c r="F21" s="480">
        <f>F10*F11+G20</f>
        <v>53.75</v>
      </c>
      <c r="G21" s="243">
        <f>E21*F21/100</f>
        <v>10.731135936594429</v>
      </c>
    </row>
    <row r="22" spans="1:7" ht="28.2" customHeight="1" x14ac:dyDescent="0.3">
      <c r="A22" s="1391" t="s">
        <v>285</v>
      </c>
      <c r="B22" s="1392"/>
      <c r="C22" s="405"/>
      <c r="D22" s="406"/>
      <c r="E22" s="465"/>
      <c r="F22" s="481"/>
      <c r="G22" s="406">
        <f>SUM(G20:G21)</f>
        <v>10.731135936594429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workbookViewId="0">
      <selection activeCell="P24" sqref="P24"/>
    </sheetView>
  </sheetViews>
  <sheetFormatPr defaultRowHeight="14.4" x14ac:dyDescent="0.3"/>
  <sheetData>
    <row r="1" spans="1:10" x14ac:dyDescent="0.3">
      <c r="A1" s="12" t="str">
        <f>дератизація!A1</f>
        <v>м. КанівШевченка21</v>
      </c>
      <c r="G1" s="1246" t="s">
        <v>214</v>
      </c>
      <c r="H1" s="1246"/>
      <c r="I1" s="1246"/>
      <c r="J1" s="1246"/>
    </row>
    <row r="2" spans="1:10" x14ac:dyDescent="0.3">
      <c r="G2" s="1246" t="s">
        <v>108</v>
      </c>
      <c r="H2" s="1246"/>
      <c r="I2" s="1246"/>
      <c r="J2" s="1246"/>
    </row>
    <row r="3" spans="1:10" x14ac:dyDescent="0.3">
      <c r="G3" s="1247" t="s">
        <v>638</v>
      </c>
      <c r="H3" s="1247"/>
      <c r="I3" s="1247"/>
      <c r="J3" s="1247"/>
    </row>
    <row r="4" spans="1:10" x14ac:dyDescent="0.3">
      <c r="G4" s="252"/>
      <c r="H4" s="253"/>
      <c r="I4" s="1248" t="s">
        <v>296</v>
      </c>
      <c r="J4" s="1248"/>
    </row>
    <row r="6" spans="1:10" x14ac:dyDescent="0.3">
      <c r="A6" s="1249" t="s">
        <v>300</v>
      </c>
      <c r="B6" s="1249"/>
      <c r="C6" s="1249"/>
      <c r="D6" s="1249"/>
      <c r="E6" s="1249"/>
      <c r="F6" s="1249"/>
      <c r="G6" s="1249"/>
      <c r="H6" s="1249"/>
      <c r="I6" s="1249"/>
      <c r="J6" s="1249"/>
    </row>
    <row r="7" spans="1:10" x14ac:dyDescent="0.3">
      <c r="A7" s="1470" t="s">
        <v>756</v>
      </c>
      <c r="B7" s="1470"/>
      <c r="C7" s="1470"/>
      <c r="D7" s="1470"/>
      <c r="E7" s="1470"/>
      <c r="F7" s="1470"/>
      <c r="G7" s="1470"/>
      <c r="H7" s="1470"/>
      <c r="I7" s="1470"/>
      <c r="J7" s="1470"/>
    </row>
    <row r="9" spans="1:10" ht="39.6" x14ac:dyDescent="0.3">
      <c r="A9" s="152" t="s">
        <v>216</v>
      </c>
      <c r="B9" s="1243" t="s">
        <v>217</v>
      </c>
      <c r="C9" s="1447"/>
      <c r="D9" s="1447"/>
      <c r="E9" s="1447"/>
      <c r="F9" s="1447"/>
      <c r="G9" s="1447"/>
      <c r="H9" s="483" t="s">
        <v>218</v>
      </c>
      <c r="I9" s="483" t="s">
        <v>219</v>
      </c>
      <c r="J9" s="483" t="s">
        <v>493</v>
      </c>
    </row>
    <row r="10" spans="1:10" ht="66" customHeight="1" x14ac:dyDescent="0.3">
      <c r="A10" s="152">
        <v>1</v>
      </c>
      <c r="B10" s="1140" t="s">
        <v>757</v>
      </c>
      <c r="C10" s="1141"/>
      <c r="D10" s="1141"/>
      <c r="E10" s="1141"/>
      <c r="F10" s="1141"/>
      <c r="G10" s="1141"/>
      <c r="H10" s="412" t="s">
        <v>181</v>
      </c>
      <c r="I10" s="582">
        <f>J10*12</f>
        <v>0</v>
      </c>
      <c r="J10" s="583"/>
    </row>
    <row r="11" spans="1:10" x14ac:dyDescent="0.3">
      <c r="A11" s="152">
        <v>2</v>
      </c>
      <c r="B11" s="1140" t="s">
        <v>760</v>
      </c>
      <c r="C11" s="1141"/>
      <c r="D11" s="1141"/>
      <c r="E11" s="1141"/>
      <c r="F11" s="1141"/>
      <c r="G11" s="1141"/>
      <c r="H11" s="412" t="s">
        <v>168</v>
      </c>
      <c r="I11" s="1553">
        <f>Характеристика!I12</f>
        <v>0</v>
      </c>
      <c r="J11" s="1233"/>
    </row>
    <row r="12" spans="1:10" x14ac:dyDescent="0.3">
      <c r="A12" s="152">
        <v>3</v>
      </c>
      <c r="B12" s="1140" t="s">
        <v>761</v>
      </c>
      <c r="C12" s="1141"/>
      <c r="D12" s="1141"/>
      <c r="E12" s="1141"/>
      <c r="F12" s="1141"/>
      <c r="G12" s="1141"/>
      <c r="H12" s="412" t="s">
        <v>181</v>
      </c>
      <c r="I12" s="504">
        <f>I10*I11</f>
        <v>0</v>
      </c>
      <c r="J12" s="504">
        <f>J10*I11</f>
        <v>0</v>
      </c>
    </row>
    <row r="13" spans="1:10" x14ac:dyDescent="0.3">
      <c r="A13" s="152">
        <v>5</v>
      </c>
      <c r="B13" s="1545" t="s">
        <v>669</v>
      </c>
      <c r="C13" s="1224"/>
      <c r="D13" s="1224"/>
      <c r="E13" s="1224"/>
      <c r="F13" s="1224"/>
      <c r="G13" s="1224"/>
      <c r="H13" s="152" t="s">
        <v>181</v>
      </c>
      <c r="I13" s="505">
        <f>I12</f>
        <v>0</v>
      </c>
      <c r="J13" s="505">
        <f>J12</f>
        <v>0</v>
      </c>
    </row>
    <row r="14" spans="1:10" x14ac:dyDescent="0.3">
      <c r="A14" s="152">
        <v>7</v>
      </c>
      <c r="B14" s="1140" t="s">
        <v>123</v>
      </c>
      <c r="C14" s="1141"/>
      <c r="D14" s="1141"/>
      <c r="E14" s="1141"/>
      <c r="F14" s="1141"/>
      <c r="G14" s="1141"/>
      <c r="H14" s="412" t="s">
        <v>646</v>
      </c>
      <c r="I14" s="1239">
        <f>Характеристика!N18</f>
        <v>2941.7</v>
      </c>
      <c r="J14" s="1239"/>
    </row>
    <row r="15" spans="1:10" x14ac:dyDescent="0.3">
      <c r="A15" s="152">
        <v>8</v>
      </c>
      <c r="B15" s="1259" t="s">
        <v>502</v>
      </c>
      <c r="C15" s="1554"/>
      <c r="D15" s="1554"/>
      <c r="E15" s="1554"/>
      <c r="F15" s="1442"/>
      <c r="G15" s="1443"/>
      <c r="H15" s="152" t="s">
        <v>181</v>
      </c>
      <c r="I15" s="1555">
        <f>J13/I14</f>
        <v>0</v>
      </c>
      <c r="J15" s="1555"/>
    </row>
    <row r="16" spans="1:10" x14ac:dyDescent="0.3">
      <c r="A16" s="150"/>
      <c r="B16" s="539"/>
      <c r="C16" s="183"/>
      <c r="D16" s="183"/>
      <c r="E16" s="183"/>
      <c r="F16" s="151"/>
      <c r="G16" s="151"/>
      <c r="H16" s="150"/>
      <c r="I16" s="584"/>
      <c r="J16" s="584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O16" sqref="O16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КанівШевченка21</v>
      </c>
      <c r="E1" s="1246" t="s">
        <v>214</v>
      </c>
      <c r="F1" s="1246"/>
      <c r="G1" s="1246"/>
      <c r="H1" s="1246"/>
    </row>
    <row r="2" spans="1:10" x14ac:dyDescent="0.3">
      <c r="E2" s="1246" t="s">
        <v>108</v>
      </c>
      <c r="F2" s="1246"/>
      <c r="G2" s="1246"/>
      <c r="H2" s="1246"/>
    </row>
    <row r="3" spans="1:10" x14ac:dyDescent="0.3">
      <c r="E3" s="1247" t="s">
        <v>638</v>
      </c>
      <c r="F3" s="1247"/>
      <c r="G3" s="1247"/>
      <c r="H3" s="1247"/>
    </row>
    <row r="4" spans="1:10" x14ac:dyDescent="0.3">
      <c r="E4" s="252"/>
      <c r="F4" s="253"/>
      <c r="G4" s="1248" t="s">
        <v>296</v>
      </c>
      <c r="H4" s="1248"/>
    </row>
    <row r="6" spans="1:10" x14ac:dyDescent="0.3">
      <c r="A6" s="1249" t="s">
        <v>300</v>
      </c>
      <c r="B6" s="1249"/>
      <c r="C6" s="1249"/>
      <c r="D6" s="1249"/>
      <c r="E6" s="1249"/>
      <c r="F6" s="1249"/>
      <c r="G6" s="1249"/>
      <c r="H6" s="1249"/>
      <c r="I6" s="533"/>
      <c r="J6" s="533"/>
    </row>
    <row r="7" spans="1:10" x14ac:dyDescent="0.3">
      <c r="A7" s="1470" t="s">
        <v>766</v>
      </c>
      <c r="B7" s="1470"/>
      <c r="C7" s="1470"/>
      <c r="D7" s="1470"/>
      <c r="E7" s="1470"/>
      <c r="F7" s="1470"/>
      <c r="G7" s="1470"/>
      <c r="H7" s="1470"/>
    </row>
    <row r="9" spans="1:10" ht="40.200000000000003" x14ac:dyDescent="0.3">
      <c r="A9" s="487" t="s">
        <v>216</v>
      </c>
      <c r="B9" s="1556" t="s">
        <v>217</v>
      </c>
      <c r="C9" s="1556"/>
      <c r="D9" s="1556"/>
      <c r="E9" s="1556"/>
      <c r="F9" s="487" t="s">
        <v>218</v>
      </c>
      <c r="G9" s="487" t="s">
        <v>219</v>
      </c>
      <c r="H9" s="487" t="s">
        <v>220</v>
      </c>
    </row>
    <row r="10" spans="1:10" ht="24.6" customHeight="1" x14ac:dyDescent="0.3">
      <c r="A10" s="212">
        <v>1</v>
      </c>
      <c r="B10" s="1557" t="s">
        <v>765</v>
      </c>
      <c r="C10" s="1557"/>
      <c r="D10" s="1557"/>
      <c r="E10" s="1557"/>
      <c r="F10" s="469" t="s">
        <v>181</v>
      </c>
      <c r="G10" s="472">
        <f>H10*12</f>
        <v>0</v>
      </c>
      <c r="H10" s="472">
        <v>0</v>
      </c>
    </row>
    <row r="11" spans="1:10" ht="35.4" customHeight="1" x14ac:dyDescent="0.3">
      <c r="A11" s="212">
        <v>2</v>
      </c>
      <c r="B11" s="1448" t="s">
        <v>641</v>
      </c>
      <c r="C11" s="1448"/>
      <c r="D11" s="1448"/>
      <c r="E11" s="1448"/>
      <c r="F11" s="469" t="s">
        <v>181</v>
      </c>
      <c r="G11" s="472">
        <f>H11*12</f>
        <v>0</v>
      </c>
      <c r="H11" s="472">
        <f>H10*розрахунок!D13/100</f>
        <v>0</v>
      </c>
    </row>
    <row r="12" spans="1:10" x14ac:dyDescent="0.3">
      <c r="A12" s="212">
        <v>3</v>
      </c>
      <c r="B12" s="1448" t="s">
        <v>504</v>
      </c>
      <c r="C12" s="1448"/>
      <c r="D12" s="1448"/>
      <c r="E12" s="1448"/>
      <c r="F12" s="469" t="s">
        <v>181</v>
      </c>
      <c r="G12" s="472">
        <f>H12*12</f>
        <v>0</v>
      </c>
      <c r="H12" s="472">
        <f>H24</f>
        <v>0</v>
      </c>
    </row>
    <row r="13" spans="1:10" x14ac:dyDescent="0.3">
      <c r="A13" s="212">
        <v>4</v>
      </c>
      <c r="B13" s="1448" t="s">
        <v>490</v>
      </c>
      <c r="C13" s="1448"/>
      <c r="D13" s="1448"/>
      <c r="E13" s="1448"/>
      <c r="F13" s="469" t="s">
        <v>181</v>
      </c>
      <c r="G13" s="472">
        <f>H13*12</f>
        <v>0</v>
      </c>
      <c r="H13" s="472">
        <v>0</v>
      </c>
    </row>
    <row r="14" spans="1:10" x14ac:dyDescent="0.3">
      <c r="A14" s="212">
        <v>5</v>
      </c>
      <c r="B14" s="1448" t="s">
        <v>491</v>
      </c>
      <c r="C14" s="1448"/>
      <c r="D14" s="1448"/>
      <c r="E14" s="1448"/>
      <c r="F14" s="469" t="s">
        <v>181</v>
      </c>
      <c r="G14" s="472">
        <f>H14*12</f>
        <v>0</v>
      </c>
      <c r="H14" s="472">
        <v>0</v>
      </c>
    </row>
    <row r="15" spans="1:10" x14ac:dyDescent="0.3">
      <c r="A15" s="212">
        <v>6</v>
      </c>
      <c r="B15" s="1556" t="s">
        <v>669</v>
      </c>
      <c r="C15" s="1556"/>
      <c r="D15" s="1556"/>
      <c r="E15" s="1556"/>
      <c r="F15" s="220" t="s">
        <v>181</v>
      </c>
      <c r="G15" s="585">
        <f>SUM(G10:G14)</f>
        <v>0</v>
      </c>
      <c r="H15" s="585">
        <f>SUM(H10:H14)</f>
        <v>0</v>
      </c>
    </row>
    <row r="16" spans="1:10" ht="15.6" x14ac:dyDescent="0.3">
      <c r="A16" s="212">
        <v>7</v>
      </c>
      <c r="B16" s="1558" t="s">
        <v>123</v>
      </c>
      <c r="C16" s="1558"/>
      <c r="D16" s="1558"/>
      <c r="E16" s="1558"/>
      <c r="F16" s="469" t="s">
        <v>223</v>
      </c>
      <c r="G16" s="1559">
        <f>Характеристика!N18</f>
        <v>2941.7</v>
      </c>
      <c r="H16" s="1443"/>
    </row>
    <row r="17" spans="1:8" x14ac:dyDescent="0.3">
      <c r="A17" s="212">
        <v>8</v>
      </c>
      <c r="B17" s="1223" t="s">
        <v>502</v>
      </c>
      <c r="C17" s="1224"/>
      <c r="D17" s="1224"/>
      <c r="E17" s="1224"/>
      <c r="F17" s="220" t="s">
        <v>181</v>
      </c>
      <c r="G17" s="1560">
        <f>H15/G16</f>
        <v>0</v>
      </c>
      <c r="H17" s="1561"/>
    </row>
    <row r="18" spans="1:8" x14ac:dyDescent="0.3">
      <c r="A18" s="183"/>
      <c r="B18" s="539"/>
      <c r="C18" s="183"/>
      <c r="D18" s="183"/>
      <c r="E18" s="183"/>
      <c r="F18" s="518"/>
      <c r="G18" s="584"/>
      <c r="H18" s="584"/>
    </row>
    <row r="19" spans="1:8" x14ac:dyDescent="0.3">
      <c r="A19" s="1544" t="s">
        <v>762</v>
      </c>
      <c r="B19" s="1562"/>
      <c r="C19" s="1562"/>
      <c r="D19" s="1562"/>
      <c r="E19" s="1562"/>
      <c r="F19" s="151"/>
      <c r="G19" s="151"/>
      <c r="H19" s="151"/>
    </row>
    <row r="20" spans="1:8" ht="132" x14ac:dyDescent="0.3">
      <c r="A20" s="1167" t="s">
        <v>277</v>
      </c>
      <c r="B20" s="1284"/>
      <c r="C20" s="232" t="s">
        <v>278</v>
      </c>
      <c r="D20" s="232" t="s">
        <v>497</v>
      </c>
      <c r="E20" s="231" t="s">
        <v>280</v>
      </c>
      <c r="F20" s="1167" t="s">
        <v>763</v>
      </c>
      <c r="G20" s="1168"/>
      <c r="H20" s="231" t="s">
        <v>764</v>
      </c>
    </row>
    <row r="21" spans="1:8" x14ac:dyDescent="0.3">
      <c r="A21" s="1167">
        <v>1</v>
      </c>
      <c r="B21" s="1284"/>
      <c r="C21" s="232">
        <v>2</v>
      </c>
      <c r="D21" s="232">
        <v>3</v>
      </c>
      <c r="E21" s="232">
        <v>4</v>
      </c>
      <c r="F21" s="1167">
        <v>5</v>
      </c>
      <c r="G21" s="1168"/>
      <c r="H21" s="231">
        <v>6</v>
      </c>
    </row>
    <row r="22" spans="1:8" ht="25.8" customHeight="1" x14ac:dyDescent="0.3">
      <c r="A22" s="1385" t="s">
        <v>283</v>
      </c>
      <c r="B22" s="1386"/>
      <c r="C22" s="404">
        <f>прибирання!C49</f>
        <v>1782768</v>
      </c>
      <c r="D22" s="243">
        <f>прибирання!D49</f>
        <v>4193729</v>
      </c>
      <c r="E22" s="464">
        <f>C22/D22*100</f>
        <v>42.51032911282536</v>
      </c>
      <c r="F22" s="1387"/>
      <c r="G22" s="754"/>
      <c r="H22" s="243">
        <f>E22*F22/100</f>
        <v>0</v>
      </c>
    </row>
    <row r="23" spans="1:8" ht="30.6" customHeight="1" x14ac:dyDescent="0.3">
      <c r="A23" s="1385" t="s">
        <v>284</v>
      </c>
      <c r="B23" s="1386"/>
      <c r="C23" s="404">
        <f>прибирання!C50</f>
        <v>2914645</v>
      </c>
      <c r="D23" s="243">
        <f>прибирання!D50</f>
        <v>14598843</v>
      </c>
      <c r="E23" s="464">
        <f>C23/D23*100</f>
        <v>19.964904068082657</v>
      </c>
      <c r="F23" s="1387">
        <f>H10+H11+H13+H14+H22</f>
        <v>0</v>
      </c>
      <c r="G23" s="754"/>
      <c r="H23" s="243">
        <f>E23*F23/100</f>
        <v>0</v>
      </c>
    </row>
    <row r="24" spans="1:8" ht="22.8" customHeight="1" x14ac:dyDescent="0.3">
      <c r="A24" s="1391" t="s">
        <v>285</v>
      </c>
      <c r="B24" s="1392"/>
      <c r="C24" s="405"/>
      <c r="D24" s="406"/>
      <c r="E24" s="465"/>
      <c r="F24" s="1393"/>
      <c r="G24" s="754"/>
      <c r="H24" s="406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7"/>
  <sheetViews>
    <sheetView zoomScaleNormal="100" workbookViewId="0">
      <selection activeCell="C53" sqref="C53"/>
    </sheetView>
  </sheetViews>
  <sheetFormatPr defaultRowHeight="15.6" x14ac:dyDescent="0.3"/>
  <cols>
    <col min="1" max="1" width="7.5546875" style="596" customWidth="1"/>
    <col min="2" max="2" width="76.109375" style="594" customWidth="1"/>
    <col min="3" max="3" width="40.44140625" style="594" customWidth="1"/>
    <col min="4" max="4" width="3.6640625" style="594" customWidth="1"/>
    <col min="5" max="22" width="8.88671875" style="594"/>
  </cols>
  <sheetData>
    <row r="1" spans="1:22" ht="40.799999999999997" customHeight="1" x14ac:dyDescent="0.3">
      <c r="A1" s="914" t="s">
        <v>824</v>
      </c>
      <c r="B1" s="914"/>
      <c r="C1" s="914"/>
    </row>
    <row r="3" spans="1:22" s="258" customFormat="1" ht="30" x14ac:dyDescent="0.3">
      <c r="A3" s="599" t="s">
        <v>13</v>
      </c>
      <c r="B3" s="600" t="s">
        <v>770</v>
      </c>
      <c r="C3" s="600" t="s">
        <v>771</v>
      </c>
      <c r="D3" s="595"/>
      <c r="E3" s="595"/>
      <c r="F3" s="595"/>
      <c r="G3" s="595"/>
      <c r="H3" s="595"/>
      <c r="I3" s="595"/>
      <c r="J3" s="595"/>
      <c r="K3" s="595"/>
      <c r="L3" s="595"/>
      <c r="M3" s="595"/>
      <c r="N3" s="595"/>
      <c r="O3" s="595"/>
      <c r="P3" s="595"/>
      <c r="Q3" s="595"/>
      <c r="R3" s="595"/>
      <c r="S3" s="595"/>
      <c r="T3" s="595"/>
      <c r="U3" s="595"/>
      <c r="V3" s="595"/>
    </row>
    <row r="4" spans="1:22" s="597" customFormat="1" ht="15" x14ac:dyDescent="0.3">
      <c r="A4" s="600">
        <v>1</v>
      </c>
      <c r="B4" s="600">
        <v>2</v>
      </c>
      <c r="C4" s="600">
        <v>3</v>
      </c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  <c r="O4" s="596"/>
      <c r="P4" s="596"/>
      <c r="Q4" s="596"/>
      <c r="R4" s="596"/>
      <c r="S4" s="596"/>
      <c r="T4" s="596"/>
      <c r="U4" s="596"/>
      <c r="V4" s="596"/>
    </row>
    <row r="5" spans="1:22" s="12" customFormat="1" x14ac:dyDescent="0.3">
      <c r="A5" s="601">
        <v>1</v>
      </c>
      <c r="B5" s="913" t="s">
        <v>772</v>
      </c>
      <c r="C5" s="913"/>
      <c r="D5" s="598"/>
      <c r="E5" s="598"/>
      <c r="F5" s="598"/>
      <c r="G5" s="598"/>
      <c r="H5" s="598"/>
      <c r="I5" s="598"/>
      <c r="J5" s="598"/>
      <c r="K5" s="598"/>
      <c r="L5" s="598"/>
      <c r="M5" s="598"/>
      <c r="N5" s="598"/>
      <c r="O5" s="598"/>
      <c r="P5" s="598"/>
      <c r="Q5" s="598"/>
      <c r="R5" s="598"/>
      <c r="S5" s="598"/>
      <c r="T5" s="598"/>
      <c r="U5" s="598"/>
      <c r="V5" s="598"/>
    </row>
    <row r="6" spans="1:22" x14ac:dyDescent="0.3">
      <c r="A6" s="602" t="s">
        <v>779</v>
      </c>
      <c r="B6" s="603" t="s">
        <v>773</v>
      </c>
      <c r="C6" s="604"/>
    </row>
    <row r="7" spans="1:22" x14ac:dyDescent="0.3">
      <c r="A7" s="605"/>
      <c r="B7" s="604" t="s">
        <v>825</v>
      </c>
      <c r="C7" s="604" t="s">
        <v>774</v>
      </c>
    </row>
    <row r="8" spans="1:22" x14ac:dyDescent="0.3">
      <c r="A8" s="605"/>
      <c r="B8" s="604" t="s">
        <v>775</v>
      </c>
      <c r="C8" s="604" t="s">
        <v>953</v>
      </c>
    </row>
    <row r="9" spans="1:22" x14ac:dyDescent="0.3">
      <c r="A9" s="605"/>
      <c r="B9" s="604" t="s">
        <v>609</v>
      </c>
      <c r="C9" s="604" t="s">
        <v>953</v>
      </c>
    </row>
    <row r="10" spans="1:22" x14ac:dyDescent="0.3">
      <c r="A10" s="605"/>
      <c r="B10" s="604" t="s">
        <v>776</v>
      </c>
      <c r="C10" s="604" t="s">
        <v>953</v>
      </c>
    </row>
    <row r="11" spans="1:22" x14ac:dyDescent="0.3">
      <c r="A11" s="605"/>
      <c r="B11" s="604" t="s">
        <v>616</v>
      </c>
      <c r="C11" s="604" t="s">
        <v>953</v>
      </c>
    </row>
    <row r="12" spans="1:22" x14ac:dyDescent="0.3">
      <c r="A12" s="605"/>
      <c r="B12" s="604" t="s">
        <v>777</v>
      </c>
      <c r="C12" s="604" t="s">
        <v>953</v>
      </c>
    </row>
    <row r="13" spans="1:22" x14ac:dyDescent="0.3">
      <c r="A13" s="602" t="s">
        <v>778</v>
      </c>
      <c r="B13" s="603" t="s">
        <v>780</v>
      </c>
      <c r="C13" s="604"/>
    </row>
    <row r="14" spans="1:22" ht="30.6" x14ac:dyDescent="0.3">
      <c r="A14" s="605"/>
      <c r="B14" s="606" t="s">
        <v>782</v>
      </c>
      <c r="C14" s="604" t="s">
        <v>774</v>
      </c>
    </row>
    <row r="15" spans="1:22" x14ac:dyDescent="0.3">
      <c r="A15" s="605"/>
      <c r="B15" s="604" t="s">
        <v>781</v>
      </c>
      <c r="C15" s="604" t="s">
        <v>800</v>
      </c>
    </row>
    <row r="16" spans="1:22" x14ac:dyDescent="0.3">
      <c r="A16" s="605"/>
      <c r="B16" s="604" t="s">
        <v>783</v>
      </c>
      <c r="C16" s="604" t="s">
        <v>800</v>
      </c>
    </row>
    <row r="17" spans="1:3" x14ac:dyDescent="0.3">
      <c r="A17" s="605"/>
      <c r="B17" s="604" t="s">
        <v>784</v>
      </c>
      <c r="C17" s="604" t="s">
        <v>800</v>
      </c>
    </row>
    <row r="18" spans="1:3" x14ac:dyDescent="0.3">
      <c r="A18" s="605"/>
      <c r="B18" s="604" t="s">
        <v>785</v>
      </c>
      <c r="C18" s="604" t="s">
        <v>800</v>
      </c>
    </row>
    <row r="19" spans="1:3" x14ac:dyDescent="0.3">
      <c r="A19" s="605"/>
      <c r="B19" s="604" t="s">
        <v>788</v>
      </c>
      <c r="C19" s="604" t="s">
        <v>953</v>
      </c>
    </row>
    <row r="20" spans="1:3" hidden="1" x14ac:dyDescent="0.3">
      <c r="A20" s="602" t="s">
        <v>786</v>
      </c>
      <c r="B20" s="603" t="s">
        <v>787</v>
      </c>
      <c r="C20" s="604"/>
    </row>
    <row r="21" spans="1:3" hidden="1" x14ac:dyDescent="0.3">
      <c r="A21" s="605"/>
      <c r="B21" s="604" t="s">
        <v>789</v>
      </c>
      <c r="C21" s="604" t="s">
        <v>790</v>
      </c>
    </row>
    <row r="22" spans="1:3" hidden="1" x14ac:dyDescent="0.3">
      <c r="A22" s="605"/>
      <c r="B22" s="604" t="s">
        <v>791</v>
      </c>
      <c r="C22" s="604" t="s">
        <v>792</v>
      </c>
    </row>
    <row r="23" spans="1:3" hidden="1" x14ac:dyDescent="0.3">
      <c r="A23" s="600"/>
      <c r="B23" s="604" t="s">
        <v>793</v>
      </c>
      <c r="C23" s="604" t="s">
        <v>792</v>
      </c>
    </row>
    <row r="24" spans="1:3" x14ac:dyDescent="0.3">
      <c r="A24" s="600"/>
      <c r="B24" s="604" t="s">
        <v>826</v>
      </c>
      <c r="C24" s="604" t="s">
        <v>827</v>
      </c>
    </row>
    <row r="25" spans="1:3" x14ac:dyDescent="0.3">
      <c r="A25" s="602" t="s">
        <v>794</v>
      </c>
      <c r="B25" s="603" t="s">
        <v>795</v>
      </c>
      <c r="C25" s="604"/>
    </row>
    <row r="26" spans="1:3" x14ac:dyDescent="0.3">
      <c r="A26" s="600"/>
      <c r="B26" s="604" t="s">
        <v>796</v>
      </c>
      <c r="C26" s="604" t="s">
        <v>909</v>
      </c>
    </row>
    <row r="27" spans="1:3" x14ac:dyDescent="0.3">
      <c r="A27" s="600"/>
      <c r="B27" s="604" t="s">
        <v>797</v>
      </c>
      <c r="C27" s="604" t="s">
        <v>959</v>
      </c>
    </row>
    <row r="28" spans="1:3" x14ac:dyDescent="0.3">
      <c r="A28" s="600"/>
      <c r="B28" s="604" t="s">
        <v>798</v>
      </c>
      <c r="C28" s="604" t="s">
        <v>959</v>
      </c>
    </row>
    <row r="29" spans="1:3" x14ac:dyDescent="0.3">
      <c r="A29" s="600"/>
      <c r="B29" s="604" t="s">
        <v>799</v>
      </c>
      <c r="C29" s="604" t="s">
        <v>909</v>
      </c>
    </row>
    <row r="30" spans="1:3" x14ac:dyDescent="0.3">
      <c r="A30" s="600"/>
      <c r="B30" s="604" t="s">
        <v>801</v>
      </c>
      <c r="C30" s="604" t="s">
        <v>953</v>
      </c>
    </row>
    <row r="31" spans="1:3" x14ac:dyDescent="0.3">
      <c r="A31" s="600"/>
      <c r="B31" s="604" t="s">
        <v>910</v>
      </c>
      <c r="C31" s="604" t="s">
        <v>911</v>
      </c>
    </row>
    <row r="32" spans="1:3" x14ac:dyDescent="0.3">
      <c r="A32" s="600"/>
      <c r="B32" s="604" t="s">
        <v>802</v>
      </c>
      <c r="C32" s="604" t="s">
        <v>953</v>
      </c>
    </row>
    <row r="33" spans="1:22" x14ac:dyDescent="0.3">
      <c r="A33" s="600"/>
      <c r="B33" s="604" t="s">
        <v>803</v>
      </c>
      <c r="C33" s="604" t="s">
        <v>912</v>
      </c>
    </row>
    <row r="34" spans="1:22" x14ac:dyDescent="0.3">
      <c r="A34" s="600"/>
      <c r="B34" s="604" t="s">
        <v>804</v>
      </c>
      <c r="C34" s="604" t="s">
        <v>953</v>
      </c>
    </row>
    <row r="35" spans="1:22" x14ac:dyDescent="0.3">
      <c r="A35" s="600"/>
      <c r="B35" s="604" t="s">
        <v>805</v>
      </c>
      <c r="C35" s="604"/>
    </row>
    <row r="36" spans="1:22" x14ac:dyDescent="0.3">
      <c r="A36" s="600"/>
      <c r="B36" s="604" t="s">
        <v>806</v>
      </c>
      <c r="C36" s="604" t="s">
        <v>800</v>
      </c>
    </row>
    <row r="37" spans="1:22" x14ac:dyDescent="0.3">
      <c r="A37" s="602" t="s">
        <v>807</v>
      </c>
      <c r="B37" s="603" t="s">
        <v>808</v>
      </c>
      <c r="C37" s="604"/>
    </row>
    <row r="38" spans="1:22" x14ac:dyDescent="0.3">
      <c r="A38" s="600"/>
      <c r="B38" s="604" t="s">
        <v>954</v>
      </c>
      <c r="C38" s="604" t="s">
        <v>909</v>
      </c>
    </row>
    <row r="39" spans="1:22" ht="42.6" customHeight="1" x14ac:dyDescent="0.3">
      <c r="A39" s="600"/>
      <c r="B39" s="606" t="s">
        <v>955</v>
      </c>
      <c r="C39" s="604" t="s">
        <v>909</v>
      </c>
    </row>
    <row r="40" spans="1:22" ht="37.799999999999997" customHeight="1" x14ac:dyDescent="0.3">
      <c r="A40" s="600"/>
      <c r="B40" s="606" t="s">
        <v>956</v>
      </c>
      <c r="C40" s="604" t="s">
        <v>957</v>
      </c>
    </row>
    <row r="41" spans="1:22" s="12" customFormat="1" hidden="1" x14ac:dyDescent="0.3">
      <c r="A41" s="601">
        <v>2</v>
      </c>
      <c r="B41" s="607" t="s">
        <v>0</v>
      </c>
      <c r="C41" s="607" t="s">
        <v>810</v>
      </c>
      <c r="D41" s="598"/>
      <c r="E41" s="598"/>
      <c r="F41" s="598"/>
      <c r="G41" s="598"/>
      <c r="H41" s="598"/>
      <c r="I41" s="598"/>
      <c r="J41" s="598"/>
      <c r="K41" s="598"/>
      <c r="L41" s="598"/>
      <c r="M41" s="598"/>
      <c r="N41" s="598"/>
      <c r="O41" s="598"/>
      <c r="P41" s="598"/>
      <c r="Q41" s="598"/>
      <c r="R41" s="598"/>
      <c r="S41" s="598"/>
      <c r="T41" s="598"/>
      <c r="U41" s="598"/>
      <c r="V41" s="598"/>
    </row>
    <row r="42" spans="1:22" s="12" customFormat="1" ht="16.2" hidden="1" customHeight="1" x14ac:dyDescent="0.3">
      <c r="A42" s="601">
        <v>3</v>
      </c>
      <c r="B42" s="607" t="s">
        <v>809</v>
      </c>
      <c r="C42" s="607" t="s">
        <v>811</v>
      </c>
      <c r="D42" s="598"/>
      <c r="E42" s="598"/>
      <c r="F42" s="598"/>
      <c r="G42" s="598"/>
      <c r="H42" s="598"/>
      <c r="I42" s="598"/>
      <c r="J42" s="598"/>
      <c r="K42" s="598"/>
      <c r="L42" s="598"/>
      <c r="M42" s="598"/>
      <c r="N42" s="598"/>
      <c r="O42" s="598"/>
      <c r="P42" s="598"/>
      <c r="Q42" s="598"/>
      <c r="R42" s="598"/>
      <c r="S42" s="598"/>
      <c r="T42" s="598"/>
      <c r="U42" s="598"/>
      <c r="V42" s="598"/>
    </row>
    <row r="43" spans="1:22" s="12" customFormat="1" x14ac:dyDescent="0.3">
      <c r="A43" s="601">
        <v>4</v>
      </c>
      <c r="B43" s="607" t="s">
        <v>958</v>
      </c>
      <c r="C43" s="607" t="s">
        <v>960</v>
      </c>
      <c r="D43" s="598"/>
      <c r="E43" s="598"/>
      <c r="F43" s="598"/>
      <c r="G43" s="598"/>
      <c r="H43" s="598"/>
      <c r="I43" s="598"/>
      <c r="J43" s="598"/>
      <c r="K43" s="598"/>
      <c r="L43" s="598"/>
      <c r="M43" s="598"/>
      <c r="N43" s="598"/>
      <c r="O43" s="598"/>
      <c r="P43" s="598"/>
      <c r="Q43" s="598"/>
      <c r="R43" s="598"/>
      <c r="S43" s="598"/>
      <c r="T43" s="598"/>
      <c r="U43" s="598"/>
      <c r="V43" s="598"/>
    </row>
    <row r="44" spans="1:22" s="12" customFormat="1" ht="93.6" x14ac:dyDescent="0.3">
      <c r="A44" s="601">
        <v>5</v>
      </c>
      <c r="B44" s="608" t="s">
        <v>2</v>
      </c>
      <c r="C44" s="671" t="s">
        <v>951</v>
      </c>
      <c r="D44" s="598"/>
      <c r="E44" s="598"/>
      <c r="F44" s="598"/>
      <c r="G44" s="598"/>
      <c r="H44" s="598"/>
      <c r="I44" s="598"/>
      <c r="J44" s="598"/>
      <c r="K44" s="598"/>
      <c r="L44" s="598"/>
      <c r="M44" s="598"/>
      <c r="N44" s="598"/>
      <c r="O44" s="598"/>
      <c r="P44" s="598"/>
      <c r="Q44" s="598"/>
      <c r="R44" s="598"/>
      <c r="S44" s="598"/>
      <c r="T44" s="598"/>
      <c r="U44" s="598"/>
      <c r="V44" s="598"/>
    </row>
    <row r="45" spans="1:22" s="12" customFormat="1" ht="46.8" x14ac:dyDescent="0.3">
      <c r="A45" s="601">
        <v>6</v>
      </c>
      <c r="B45" s="608" t="s">
        <v>489</v>
      </c>
      <c r="C45" s="671" t="s">
        <v>952</v>
      </c>
      <c r="D45" s="598"/>
      <c r="E45" s="598"/>
      <c r="F45" s="598"/>
      <c r="G45" s="598"/>
      <c r="H45" s="598"/>
      <c r="I45" s="598"/>
      <c r="J45" s="598"/>
      <c r="K45" s="598"/>
      <c r="L45" s="598"/>
      <c r="M45" s="598"/>
      <c r="N45" s="598"/>
      <c r="O45" s="598"/>
      <c r="P45" s="598"/>
      <c r="Q45" s="598"/>
      <c r="R45" s="598"/>
      <c r="S45" s="598"/>
      <c r="T45" s="598"/>
      <c r="U45" s="598"/>
      <c r="V45" s="598"/>
    </row>
    <row r="46" spans="1:22" s="12" customFormat="1" x14ac:dyDescent="0.3">
      <c r="A46" s="601">
        <v>7</v>
      </c>
      <c r="B46" s="915" t="s">
        <v>4</v>
      </c>
      <c r="C46" s="916"/>
      <c r="D46" s="598"/>
      <c r="E46" s="598"/>
      <c r="F46" s="598"/>
      <c r="G46" s="598"/>
      <c r="H46" s="598"/>
      <c r="I46" s="598"/>
      <c r="J46" s="598"/>
      <c r="K46" s="598"/>
      <c r="L46" s="598"/>
      <c r="M46" s="598"/>
      <c r="N46" s="598"/>
      <c r="O46" s="598"/>
      <c r="P46" s="598"/>
      <c r="Q46" s="598"/>
      <c r="R46" s="598"/>
      <c r="S46" s="598"/>
      <c r="T46" s="598"/>
      <c r="U46" s="598"/>
      <c r="V46" s="598"/>
    </row>
    <row r="47" spans="1:22" x14ac:dyDescent="0.3">
      <c r="A47" s="600"/>
      <c r="B47" s="604" t="s">
        <v>814</v>
      </c>
      <c r="C47" s="604" t="s">
        <v>812</v>
      </c>
    </row>
    <row r="48" spans="1:22" x14ac:dyDescent="0.3">
      <c r="A48" s="600"/>
      <c r="B48" s="604" t="s">
        <v>813</v>
      </c>
      <c r="C48" s="604" t="s">
        <v>815</v>
      </c>
    </row>
    <row r="49" spans="1:22" x14ac:dyDescent="0.3">
      <c r="A49" s="600"/>
      <c r="B49" s="604" t="s">
        <v>256</v>
      </c>
      <c r="C49" s="604" t="s">
        <v>816</v>
      </c>
    </row>
    <row r="50" spans="1:22" x14ac:dyDescent="0.3">
      <c r="A50" s="600"/>
      <c r="B50" s="604" t="s">
        <v>817</v>
      </c>
      <c r="C50" s="604" t="s">
        <v>818</v>
      </c>
    </row>
    <row r="51" spans="1:22" x14ac:dyDescent="0.3">
      <c r="A51" s="600"/>
      <c r="B51" s="604" t="s">
        <v>819</v>
      </c>
      <c r="C51" s="604" t="s">
        <v>812</v>
      </c>
    </row>
    <row r="52" spans="1:22" s="12" customFormat="1" ht="46.8" x14ac:dyDescent="0.3">
      <c r="A52" s="601">
        <v>8</v>
      </c>
      <c r="B52" s="608" t="s">
        <v>6</v>
      </c>
      <c r="C52" s="607"/>
      <c r="D52" s="598"/>
      <c r="E52" s="598"/>
      <c r="F52" s="598"/>
      <c r="G52" s="598"/>
      <c r="H52" s="598"/>
      <c r="I52" s="598"/>
      <c r="J52" s="598"/>
      <c r="K52" s="598"/>
      <c r="L52" s="598"/>
      <c r="M52" s="598"/>
      <c r="N52" s="598"/>
      <c r="O52" s="598"/>
      <c r="P52" s="598"/>
      <c r="Q52" s="598"/>
      <c r="R52" s="598"/>
      <c r="S52" s="598"/>
      <c r="T52" s="598"/>
      <c r="U52" s="598"/>
      <c r="V52" s="598"/>
    </row>
    <row r="53" spans="1:22" x14ac:dyDescent="0.3">
      <c r="A53" s="600"/>
      <c r="B53" s="604" t="s">
        <v>820</v>
      </c>
      <c r="C53" s="604" t="s">
        <v>953</v>
      </c>
    </row>
    <row r="54" spans="1:22" x14ac:dyDescent="0.3">
      <c r="A54" s="600"/>
      <c r="B54" s="604" t="s">
        <v>821</v>
      </c>
      <c r="C54" s="604" t="s">
        <v>953</v>
      </c>
    </row>
    <row r="55" spans="1:22" x14ac:dyDescent="0.3">
      <c r="A55" s="600"/>
      <c r="B55" s="604" t="s">
        <v>822</v>
      </c>
      <c r="C55" s="604" t="s">
        <v>953</v>
      </c>
    </row>
    <row r="56" spans="1:22" s="12" customFormat="1" x14ac:dyDescent="0.3">
      <c r="A56" s="601">
        <v>9</v>
      </c>
      <c r="B56" s="607" t="s">
        <v>7</v>
      </c>
      <c r="C56" s="607" t="s">
        <v>823</v>
      </c>
      <c r="D56" s="598"/>
      <c r="E56" s="598"/>
      <c r="F56" s="598"/>
      <c r="G56" s="598"/>
      <c r="H56" s="598"/>
      <c r="I56" s="598"/>
      <c r="J56" s="598"/>
      <c r="K56" s="598"/>
      <c r="L56" s="598"/>
      <c r="M56" s="598"/>
      <c r="N56" s="598"/>
      <c r="O56" s="598"/>
      <c r="P56" s="598"/>
      <c r="Q56" s="598"/>
      <c r="R56" s="598"/>
      <c r="S56" s="598"/>
      <c r="T56" s="598"/>
      <c r="U56" s="598"/>
      <c r="V56" s="598"/>
    </row>
    <row r="57" spans="1:22" s="12" customFormat="1" ht="62.4" x14ac:dyDescent="0.3">
      <c r="A57" s="601">
        <v>10</v>
      </c>
      <c r="B57" s="608" t="s">
        <v>9</v>
      </c>
      <c r="C57" s="609" t="s">
        <v>811</v>
      </c>
      <c r="D57" s="598"/>
      <c r="E57" s="598"/>
      <c r="F57" s="598"/>
      <c r="G57" s="598"/>
      <c r="H57" s="598"/>
      <c r="I57" s="598"/>
      <c r="J57" s="598"/>
      <c r="K57" s="598"/>
      <c r="L57" s="598"/>
      <c r="M57" s="598"/>
      <c r="N57" s="598"/>
      <c r="O57" s="598"/>
      <c r="P57" s="598"/>
      <c r="Q57" s="598"/>
      <c r="R57" s="598"/>
      <c r="S57" s="598"/>
      <c r="T57" s="598"/>
      <c r="U57" s="598"/>
      <c r="V57" s="598"/>
    </row>
  </sheetData>
  <mergeCells count="3">
    <mergeCell ref="B5:C5"/>
    <mergeCell ref="A1:C1"/>
    <mergeCell ref="B46:C46"/>
  </mergeCells>
  <pageMargins left="0.7" right="0.7" top="0.75" bottom="0.75" header="0.3" footer="0.3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zoomScaleNormal="100" workbookViewId="0">
      <selection activeCell="C11" sqref="C11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9" x14ac:dyDescent="0.3">
      <c r="A2" s="1102" t="str">
        <f>[1]Калькуляция!A10</f>
        <v>№п\п</v>
      </c>
      <c r="B2" s="1103"/>
      <c r="C2" s="1103"/>
      <c r="D2" s="262"/>
      <c r="E2" s="262"/>
      <c r="F2" s="262" t="s">
        <v>306</v>
      </c>
      <c r="G2" s="262"/>
      <c r="H2" s="262"/>
      <c r="I2" s="262"/>
    </row>
    <row r="3" spans="1:9" x14ac:dyDescent="0.3">
      <c r="A3" s="1104" t="s">
        <v>307</v>
      </c>
      <c r="B3" s="1104"/>
      <c r="C3" s="1105"/>
      <c r="D3" s="1105"/>
      <c r="E3" s="1105"/>
      <c r="F3" s="1105"/>
      <c r="G3" s="1105"/>
      <c r="H3" s="1105"/>
      <c r="I3" s="1105"/>
    </row>
    <row r="4" spans="1:9" ht="15" thickBot="1" x14ac:dyDescent="0.35">
      <c r="A4" s="1104" t="s">
        <v>308</v>
      </c>
      <c r="B4" s="1104"/>
      <c r="C4" s="1105"/>
      <c r="D4" s="1105"/>
      <c r="E4" s="1105"/>
      <c r="F4" s="1105"/>
      <c r="G4" s="1105"/>
      <c r="H4" s="1105"/>
      <c r="I4" s="1105"/>
    </row>
    <row r="5" spans="1:9" x14ac:dyDescent="0.3">
      <c r="A5" s="263"/>
      <c r="B5" s="1106" t="s">
        <v>309</v>
      </c>
      <c r="C5" s="1107"/>
      <c r="D5" s="1107"/>
      <c r="E5" s="1108"/>
      <c r="F5" s="1109" t="s">
        <v>310</v>
      </c>
      <c r="G5" s="1110"/>
      <c r="H5" s="1109" t="s">
        <v>222</v>
      </c>
      <c r="I5" s="1110"/>
    </row>
    <row r="6" spans="1:9" ht="66" x14ac:dyDescent="0.3">
      <c r="A6" s="264"/>
      <c r="B6" s="265" t="s">
        <v>311</v>
      </c>
      <c r="C6" s="266" t="s">
        <v>312</v>
      </c>
      <c r="D6" s="266" t="s">
        <v>313</v>
      </c>
      <c r="E6" s="267" t="s">
        <v>314</v>
      </c>
      <c r="F6" s="265" t="s">
        <v>315</v>
      </c>
      <c r="G6" s="267" t="s">
        <v>316</v>
      </c>
      <c r="H6" s="265" t="s">
        <v>315</v>
      </c>
      <c r="I6" s="267" t="s">
        <v>317</v>
      </c>
    </row>
    <row r="7" spans="1:9" x14ac:dyDescent="0.3">
      <c r="A7" s="268" t="s">
        <v>318</v>
      </c>
      <c r="B7" s="269">
        <f>I33</f>
        <v>2367.7550000000001</v>
      </c>
      <c r="C7" s="270">
        <f>прибирання!E43</f>
        <v>0.35</v>
      </c>
      <c r="D7" s="271">
        <f t="shared" ref="D7:D13" si="0">B7*C7</f>
        <v>828.71424999999999</v>
      </c>
      <c r="E7" s="272">
        <f t="shared" ref="E7:E13" si="1">D7/12</f>
        <v>69.059520833333337</v>
      </c>
      <c r="F7" s="269">
        <f>H113+I113+H114+H115</f>
        <v>370.84210000000002</v>
      </c>
      <c r="G7" s="273">
        <f t="shared" ref="G7:G13" si="2">F7/12</f>
        <v>30.903508333333335</v>
      </c>
      <c r="H7" s="269">
        <f t="shared" ref="H7:I13" si="3">D7+F7</f>
        <v>1199.5563500000001</v>
      </c>
      <c r="I7" s="273">
        <f t="shared" si="3"/>
        <v>99.963029166666672</v>
      </c>
    </row>
    <row r="8" spans="1:9" x14ac:dyDescent="0.3">
      <c r="A8" s="268" t="s">
        <v>319</v>
      </c>
      <c r="B8" s="274">
        <f>I33</f>
        <v>2367.7550000000001</v>
      </c>
      <c r="C8" s="275">
        <f>Сніг!E56</f>
        <v>0.05</v>
      </c>
      <c r="D8" s="46">
        <f t="shared" si="0"/>
        <v>118.38775000000001</v>
      </c>
      <c r="E8" s="276">
        <f t="shared" si="1"/>
        <v>9.8656458333333337</v>
      </c>
      <c r="F8" s="274">
        <v>0</v>
      </c>
      <c r="G8" s="277">
        <f t="shared" si="2"/>
        <v>0</v>
      </c>
      <c r="H8" s="274">
        <f t="shared" si="3"/>
        <v>118.38775000000001</v>
      </c>
      <c r="I8" s="277">
        <f t="shared" si="3"/>
        <v>9.8656458333333337</v>
      </c>
    </row>
    <row r="9" spans="1:9" ht="20.399999999999999" customHeight="1" x14ac:dyDescent="0.3">
      <c r="A9" s="278" t="s">
        <v>320</v>
      </c>
      <c r="B9" s="269">
        <f>I41</f>
        <v>560.64</v>
      </c>
      <c r="C9" s="270">
        <f>'[1]сходові клітки'!D82</f>
        <v>0</v>
      </c>
      <c r="D9" s="271">
        <f>B9*C9</f>
        <v>0</v>
      </c>
      <c r="E9" s="272">
        <f t="shared" si="1"/>
        <v>0</v>
      </c>
      <c r="F9" s="269">
        <f>I160</f>
        <v>0</v>
      </c>
      <c r="G9" s="273">
        <f t="shared" si="2"/>
        <v>0</v>
      </c>
      <c r="H9" s="269">
        <f>D9+F9</f>
        <v>0</v>
      </c>
      <c r="I9" s="273">
        <f t="shared" si="3"/>
        <v>0</v>
      </c>
    </row>
    <row r="10" spans="1:9" x14ac:dyDescent="0.3">
      <c r="A10" s="268" t="s">
        <v>321</v>
      </c>
      <c r="B10" s="269">
        <f>I59</f>
        <v>1391.3333333333335</v>
      </c>
      <c r="C10" s="669">
        <f>'ТО внутріньобудин'!F117</f>
        <v>7.8085298544907186E-2</v>
      </c>
      <c r="D10" s="271">
        <f t="shared" si="0"/>
        <v>108.64267870881422</v>
      </c>
      <c r="E10" s="272">
        <f t="shared" si="1"/>
        <v>9.0535565590678519</v>
      </c>
      <c r="F10" s="269">
        <f>[1]Расчет_7!G127</f>
        <v>0</v>
      </c>
      <c r="G10" s="273">
        <f t="shared" si="2"/>
        <v>0</v>
      </c>
      <c r="H10" s="269">
        <f t="shared" si="3"/>
        <v>108.64267870881422</v>
      </c>
      <c r="I10" s="273">
        <f t="shared" si="3"/>
        <v>9.0535565590678519</v>
      </c>
    </row>
    <row r="11" spans="1:9" x14ac:dyDescent="0.3">
      <c r="A11" s="268" t="s">
        <v>322</v>
      </c>
      <c r="B11" s="269">
        <f>I74</f>
        <v>1241.5366666666666</v>
      </c>
      <c r="C11" s="669">
        <f>'ТО внутріньобудин'!F118</f>
        <v>4.2847466131460107E-2</v>
      </c>
      <c r="D11" s="271">
        <f t="shared" si="0"/>
        <v>53.196700275965874</v>
      </c>
      <c r="E11" s="272">
        <f t="shared" si="1"/>
        <v>4.4330583563304895</v>
      </c>
      <c r="F11" s="269">
        <f>I190</f>
        <v>0</v>
      </c>
      <c r="G11" s="273">
        <f t="shared" si="2"/>
        <v>0</v>
      </c>
      <c r="H11" s="269">
        <f t="shared" si="3"/>
        <v>53.196700275965874</v>
      </c>
      <c r="I11" s="273">
        <f t="shared" si="3"/>
        <v>4.4330583563304895</v>
      </c>
    </row>
    <row r="12" spans="1:9" ht="15" thickBot="1" x14ac:dyDescent="0.35">
      <c r="A12" s="279" t="s">
        <v>323</v>
      </c>
      <c r="B12" s="280">
        <f>I79</f>
        <v>644.66666666666663</v>
      </c>
      <c r="C12" s="653">
        <f>прибирання!E44</f>
        <v>1.0536879076768691E-2</v>
      </c>
      <c r="D12" s="281">
        <f t="shared" si="0"/>
        <v>6.7927747114902157</v>
      </c>
      <c r="E12" s="282">
        <f t="shared" si="1"/>
        <v>0.56606455929085131</v>
      </c>
      <c r="F12" s="283">
        <v>0</v>
      </c>
      <c r="G12" s="273">
        <f t="shared" si="2"/>
        <v>0</v>
      </c>
      <c r="H12" s="269">
        <f t="shared" si="3"/>
        <v>6.7927747114902157</v>
      </c>
      <c r="I12" s="273">
        <f t="shared" si="3"/>
        <v>0.56606455929085131</v>
      </c>
    </row>
    <row r="13" spans="1:9" ht="15" thickBot="1" x14ac:dyDescent="0.35">
      <c r="A13" s="284" t="s">
        <v>202</v>
      </c>
      <c r="B13" s="270">
        <f>I88</f>
        <v>2077.1666666666665</v>
      </c>
      <c r="C13" s="665">
        <f>вентканали!E36</f>
        <v>1.4E-2</v>
      </c>
      <c r="D13" s="281">
        <f t="shared" si="0"/>
        <v>29.080333333333332</v>
      </c>
      <c r="E13" s="282">
        <f t="shared" si="1"/>
        <v>2.4233611111111109</v>
      </c>
      <c r="F13" s="285">
        <v>0</v>
      </c>
      <c r="G13" s="286">
        <f t="shared" si="2"/>
        <v>0</v>
      </c>
      <c r="H13" s="287">
        <f t="shared" si="3"/>
        <v>29.080333333333332</v>
      </c>
      <c r="I13" s="286">
        <f t="shared" si="3"/>
        <v>2.4233611111111109</v>
      </c>
    </row>
    <row r="14" spans="1:9" ht="15" thickBot="1" x14ac:dyDescent="0.35">
      <c r="A14" s="1111" t="s">
        <v>222</v>
      </c>
      <c r="B14" s="1112"/>
      <c r="C14" s="1113"/>
      <c r="D14" s="288">
        <f>SUM(D7:D12)</f>
        <v>1115.7341536962704</v>
      </c>
      <c r="E14" s="289">
        <f>SUM(E7:E12)</f>
        <v>92.977846141355869</v>
      </c>
      <c r="F14" s="290">
        <f>SUM(F7:F13)</f>
        <v>370.84210000000002</v>
      </c>
      <c r="G14" s="291">
        <f>SUM(G7:G13)</f>
        <v>30.903508333333335</v>
      </c>
      <c r="H14" s="292">
        <f>SUM(H7:H13)</f>
        <v>1515.6565870296038</v>
      </c>
      <c r="I14" s="291">
        <f>SUM(I7:I13)</f>
        <v>126.30471558580031</v>
      </c>
    </row>
    <row r="15" spans="1:9" x14ac:dyDescent="0.3">
      <c r="A15" s="1068" t="s">
        <v>324</v>
      </c>
      <c r="B15" s="1114"/>
      <c r="C15" s="1115"/>
      <c r="D15" s="293"/>
      <c r="E15" s="293"/>
      <c r="F15" s="294"/>
      <c r="G15" s="293"/>
      <c r="H15" s="294"/>
      <c r="I15" s="141"/>
    </row>
    <row r="16" spans="1:9" x14ac:dyDescent="0.3">
      <c r="A16" s="1116" t="s">
        <v>325</v>
      </c>
      <c r="B16" s="1117"/>
      <c r="C16" s="1118"/>
      <c r="D16" s="293"/>
      <c r="E16" s="293"/>
      <c r="F16" s="294"/>
      <c r="G16" s="293"/>
      <c r="H16" s="294"/>
      <c r="I16" s="141"/>
    </row>
    <row r="17" spans="1:9" ht="15" thickBot="1" x14ac:dyDescent="0.35">
      <c r="A17" s="1119" t="s">
        <v>326</v>
      </c>
      <c r="B17" s="1119"/>
      <c r="C17" s="1120"/>
      <c r="D17" s="1120"/>
      <c r="E17" s="1120"/>
      <c r="F17" s="1120"/>
      <c r="G17" s="1120"/>
      <c r="H17" s="1120"/>
      <c r="I17" s="1120"/>
    </row>
    <row r="18" spans="1:9" ht="66.599999999999994" thickBot="1" x14ac:dyDescent="0.35">
      <c r="A18" s="295" t="s">
        <v>327</v>
      </c>
      <c r="B18" s="1086" t="s">
        <v>328</v>
      </c>
      <c r="C18" s="1121"/>
      <c r="D18" s="295" t="s">
        <v>329</v>
      </c>
      <c r="E18" s="295" t="s">
        <v>330</v>
      </c>
      <c r="F18" s="295" t="s">
        <v>331</v>
      </c>
      <c r="G18" s="295" t="s">
        <v>332</v>
      </c>
      <c r="H18" s="296" t="s">
        <v>333</v>
      </c>
      <c r="I18" s="295" t="s">
        <v>334</v>
      </c>
    </row>
    <row r="19" spans="1:9" x14ac:dyDescent="0.3">
      <c r="A19" s="1079" t="s">
        <v>197</v>
      </c>
      <c r="B19" s="1091" t="s">
        <v>335</v>
      </c>
      <c r="C19" s="1092"/>
      <c r="D19" s="297">
        <v>12</v>
      </c>
      <c r="E19" s="297" t="s">
        <v>168</v>
      </c>
      <c r="F19" s="298">
        <v>33</v>
      </c>
      <c r="G19" s="297">
        <v>12</v>
      </c>
      <c r="H19" s="298">
        <f t="shared" ref="H19:H32" si="4">12/G19*D19</f>
        <v>12</v>
      </c>
      <c r="I19" s="299">
        <f t="shared" ref="I19:I32" si="5">F19*H19</f>
        <v>396</v>
      </c>
    </row>
    <row r="20" spans="1:9" x14ac:dyDescent="0.3">
      <c r="A20" s="1079"/>
      <c r="B20" s="1072" t="s">
        <v>337</v>
      </c>
      <c r="C20" s="1073"/>
      <c r="D20" s="300">
        <v>1</v>
      </c>
      <c r="E20" s="300" t="s">
        <v>168</v>
      </c>
      <c r="F20" s="275">
        <v>105</v>
      </c>
      <c r="G20" s="300">
        <v>12</v>
      </c>
      <c r="H20" s="275">
        <f t="shared" si="4"/>
        <v>1</v>
      </c>
      <c r="I20" s="277">
        <f t="shared" si="5"/>
        <v>105</v>
      </c>
    </row>
    <row r="21" spans="1:9" x14ac:dyDescent="0.3">
      <c r="A21" s="1079"/>
      <c r="B21" s="1072" t="s">
        <v>338</v>
      </c>
      <c r="C21" s="1073"/>
      <c r="D21" s="300">
        <v>1</v>
      </c>
      <c r="E21" s="300" t="s">
        <v>168</v>
      </c>
      <c r="F21" s="275">
        <v>50</v>
      </c>
      <c r="G21" s="300">
        <v>12</v>
      </c>
      <c r="H21" s="275">
        <f t="shared" si="4"/>
        <v>1</v>
      </c>
      <c r="I21" s="277">
        <f t="shared" si="5"/>
        <v>50</v>
      </c>
    </row>
    <row r="22" spans="1:9" x14ac:dyDescent="0.3">
      <c r="A22" s="1079"/>
      <c r="B22" s="1072" t="s">
        <v>339</v>
      </c>
      <c r="C22" s="1073"/>
      <c r="D22" s="300">
        <v>1</v>
      </c>
      <c r="E22" s="300" t="s">
        <v>168</v>
      </c>
      <c r="F22" s="275">
        <v>90</v>
      </c>
      <c r="G22" s="300">
        <v>12</v>
      </c>
      <c r="H22" s="275">
        <f t="shared" si="4"/>
        <v>1</v>
      </c>
      <c r="I22" s="277">
        <f t="shared" si="5"/>
        <v>90</v>
      </c>
    </row>
    <row r="23" spans="1:9" x14ac:dyDescent="0.3">
      <c r="A23" s="1079"/>
      <c r="B23" s="1072" t="s">
        <v>340</v>
      </c>
      <c r="C23" s="1073"/>
      <c r="D23" s="300">
        <v>12</v>
      </c>
      <c r="E23" s="300" t="s">
        <v>168</v>
      </c>
      <c r="F23" s="275">
        <v>70</v>
      </c>
      <c r="G23" s="300">
        <v>12</v>
      </c>
      <c r="H23" s="275">
        <f t="shared" si="4"/>
        <v>12</v>
      </c>
      <c r="I23" s="277">
        <f t="shared" si="5"/>
        <v>840</v>
      </c>
    </row>
    <row r="24" spans="1:9" x14ac:dyDescent="0.3">
      <c r="A24" s="1079"/>
      <c r="B24" s="1072" t="s">
        <v>483</v>
      </c>
      <c r="C24" s="1073"/>
      <c r="D24" s="301">
        <v>1</v>
      </c>
      <c r="E24" s="300" t="s">
        <v>168</v>
      </c>
      <c r="F24" s="302">
        <v>75</v>
      </c>
      <c r="G24" s="301">
        <v>36</v>
      </c>
      <c r="H24" s="275">
        <f t="shared" si="4"/>
        <v>0.33333333333333331</v>
      </c>
      <c r="I24" s="303">
        <f t="shared" si="5"/>
        <v>25</v>
      </c>
    </row>
    <row r="25" spans="1:9" x14ac:dyDescent="0.3">
      <c r="A25" s="1079"/>
      <c r="B25" s="1072" t="s">
        <v>767</v>
      </c>
      <c r="C25" s="1073"/>
      <c r="D25" s="300">
        <v>1</v>
      </c>
      <c r="E25" s="300" t="s">
        <v>342</v>
      </c>
      <c r="F25" s="275">
        <v>6.02</v>
      </c>
      <c r="G25" s="301">
        <v>1</v>
      </c>
      <c r="H25" s="275">
        <f t="shared" si="4"/>
        <v>12</v>
      </c>
      <c r="I25" s="277">
        <f t="shared" si="5"/>
        <v>72.239999999999995</v>
      </c>
    </row>
    <row r="26" spans="1:9" x14ac:dyDescent="0.3">
      <c r="A26" s="1079"/>
      <c r="B26" s="1072" t="s">
        <v>343</v>
      </c>
      <c r="C26" s="1073"/>
      <c r="D26" s="300">
        <v>1</v>
      </c>
      <c r="E26" s="300" t="s">
        <v>342</v>
      </c>
      <c r="F26" s="275">
        <v>13</v>
      </c>
      <c r="G26" s="301">
        <v>6</v>
      </c>
      <c r="H26" s="275">
        <f t="shared" si="4"/>
        <v>2</v>
      </c>
      <c r="I26" s="277">
        <f t="shared" si="5"/>
        <v>26</v>
      </c>
    </row>
    <row r="27" spans="1:9" x14ac:dyDescent="0.3">
      <c r="A27" s="1079"/>
      <c r="B27" s="1072" t="s">
        <v>344</v>
      </c>
      <c r="C27" s="1073"/>
      <c r="D27" s="300">
        <v>1</v>
      </c>
      <c r="E27" s="300" t="s">
        <v>168</v>
      </c>
      <c r="F27" s="275">
        <v>287.48</v>
      </c>
      <c r="G27" s="301">
        <v>12</v>
      </c>
      <c r="H27" s="275">
        <f t="shared" si="4"/>
        <v>1</v>
      </c>
      <c r="I27" s="277">
        <f t="shared" si="5"/>
        <v>287.48</v>
      </c>
    </row>
    <row r="28" spans="1:9" x14ac:dyDescent="0.3">
      <c r="A28" s="1079"/>
      <c r="B28" s="1072" t="s">
        <v>484</v>
      </c>
      <c r="C28" s="1073"/>
      <c r="D28" s="300">
        <v>1</v>
      </c>
      <c r="E28" s="300" t="s">
        <v>342</v>
      </c>
      <c r="F28" s="275">
        <v>157.72</v>
      </c>
      <c r="G28" s="301">
        <v>12</v>
      </c>
      <c r="H28" s="275">
        <f t="shared" si="4"/>
        <v>1</v>
      </c>
      <c r="I28" s="277">
        <f t="shared" si="5"/>
        <v>157.72</v>
      </c>
    </row>
    <row r="29" spans="1:9" x14ac:dyDescent="0.3">
      <c r="A29" s="1079"/>
      <c r="B29" s="1072" t="s">
        <v>345</v>
      </c>
      <c r="C29" s="1073"/>
      <c r="D29" s="300">
        <v>1</v>
      </c>
      <c r="E29" s="300" t="s">
        <v>168</v>
      </c>
      <c r="F29" s="275">
        <v>105</v>
      </c>
      <c r="G29" s="301">
        <v>12</v>
      </c>
      <c r="H29" s="275">
        <f t="shared" si="4"/>
        <v>1</v>
      </c>
      <c r="I29" s="277">
        <f t="shared" si="5"/>
        <v>105</v>
      </c>
    </row>
    <row r="30" spans="1:9" x14ac:dyDescent="0.3">
      <c r="A30" s="1079"/>
      <c r="B30" s="1072" t="s">
        <v>346</v>
      </c>
      <c r="C30" s="1073"/>
      <c r="D30" s="300">
        <v>1</v>
      </c>
      <c r="E30" s="300" t="s">
        <v>168</v>
      </c>
      <c r="F30" s="275">
        <v>30.8</v>
      </c>
      <c r="G30" s="301">
        <v>12</v>
      </c>
      <c r="H30" s="275">
        <f t="shared" si="4"/>
        <v>1</v>
      </c>
      <c r="I30" s="277">
        <f t="shared" si="5"/>
        <v>30.8</v>
      </c>
    </row>
    <row r="31" spans="1:9" x14ac:dyDescent="0.3">
      <c r="A31" s="1079"/>
      <c r="B31" s="1072" t="s">
        <v>485</v>
      </c>
      <c r="C31" s="1073"/>
      <c r="D31" s="367">
        <v>1</v>
      </c>
      <c r="E31" s="367" t="s">
        <v>168</v>
      </c>
      <c r="F31" s="368">
        <v>5.87</v>
      </c>
      <c r="G31" s="369">
        <v>1</v>
      </c>
      <c r="H31" s="368">
        <f t="shared" si="4"/>
        <v>12</v>
      </c>
      <c r="I31" s="370">
        <f t="shared" si="5"/>
        <v>70.44</v>
      </c>
    </row>
    <row r="32" spans="1:9" ht="15" thickBot="1" x14ac:dyDescent="0.35">
      <c r="A32" s="1079"/>
      <c r="B32" s="1095" t="s">
        <v>347</v>
      </c>
      <c r="C32" s="1096"/>
      <c r="D32" s="304">
        <v>1</v>
      </c>
      <c r="E32" s="304" t="s">
        <v>168</v>
      </c>
      <c r="F32" s="305">
        <v>224.15</v>
      </c>
      <c r="G32" s="306">
        <v>24</v>
      </c>
      <c r="H32" s="305">
        <f t="shared" si="4"/>
        <v>0.5</v>
      </c>
      <c r="I32" s="307">
        <f t="shared" si="5"/>
        <v>112.075</v>
      </c>
    </row>
    <row r="33" spans="1:9" ht="15" thickBot="1" x14ac:dyDescent="0.35">
      <c r="A33" s="1101"/>
      <c r="B33" s="1098" t="s">
        <v>348</v>
      </c>
      <c r="C33" s="1099"/>
      <c r="D33" s="1099"/>
      <c r="E33" s="1099"/>
      <c r="F33" s="1099"/>
      <c r="G33" s="1099"/>
      <c r="H33" s="1100"/>
      <c r="I33" s="308">
        <f>SUM(I19:I32)</f>
        <v>2367.7550000000001</v>
      </c>
    </row>
    <row r="34" spans="1:9" x14ac:dyDescent="0.3">
      <c r="A34" s="1078" t="s">
        <v>349</v>
      </c>
      <c r="B34" s="1091" t="s">
        <v>338</v>
      </c>
      <c r="C34" s="1092"/>
      <c r="D34" s="297">
        <v>1</v>
      </c>
      <c r="E34" s="297" t="s">
        <v>168</v>
      </c>
      <c r="F34" s="298">
        <v>50</v>
      </c>
      <c r="G34" s="297">
        <v>12</v>
      </c>
      <c r="H34" s="298">
        <f t="shared" ref="H34:H40" si="6">12/G34*D34</f>
        <v>1</v>
      </c>
      <c r="I34" s="299">
        <f t="shared" ref="I34:I40" si="7">F34*H34</f>
        <v>50</v>
      </c>
    </row>
    <row r="35" spans="1:9" x14ac:dyDescent="0.3">
      <c r="A35" s="1079"/>
      <c r="B35" s="1072" t="s">
        <v>350</v>
      </c>
      <c r="C35" s="1073"/>
      <c r="D35" s="300">
        <v>1</v>
      </c>
      <c r="E35" s="300" t="s">
        <v>168</v>
      </c>
      <c r="F35" s="275">
        <v>56</v>
      </c>
      <c r="G35" s="300">
        <v>12</v>
      </c>
      <c r="H35" s="275">
        <f t="shared" si="6"/>
        <v>1</v>
      </c>
      <c r="I35" s="277">
        <f t="shared" si="7"/>
        <v>56</v>
      </c>
    </row>
    <row r="36" spans="1:9" x14ac:dyDescent="0.3">
      <c r="A36" s="1079"/>
      <c r="B36" s="1072" t="s">
        <v>336</v>
      </c>
      <c r="C36" s="1073"/>
      <c r="D36" s="300">
        <v>1</v>
      </c>
      <c r="E36" s="300" t="s">
        <v>168</v>
      </c>
      <c r="F36" s="275">
        <v>55</v>
      </c>
      <c r="G36" s="300">
        <v>12</v>
      </c>
      <c r="H36" s="275">
        <f t="shared" si="6"/>
        <v>1</v>
      </c>
      <c r="I36" s="277">
        <f t="shared" si="7"/>
        <v>55</v>
      </c>
    </row>
    <row r="37" spans="1:9" ht="15" thickBot="1" x14ac:dyDescent="0.35">
      <c r="A37" s="1079"/>
      <c r="B37" s="1095" t="s">
        <v>335</v>
      </c>
      <c r="C37" s="1096"/>
      <c r="D37" s="304">
        <v>1</v>
      </c>
      <c r="E37" s="304" t="s">
        <v>168</v>
      </c>
      <c r="F37" s="305">
        <v>33</v>
      </c>
      <c r="G37" s="304">
        <v>12</v>
      </c>
      <c r="H37" s="305">
        <f t="shared" si="6"/>
        <v>1</v>
      </c>
      <c r="I37" s="307">
        <f t="shared" si="7"/>
        <v>33</v>
      </c>
    </row>
    <row r="38" spans="1:9" x14ac:dyDescent="0.3">
      <c r="A38" s="1079"/>
      <c r="B38" s="1091" t="s">
        <v>351</v>
      </c>
      <c r="C38" s="1092"/>
      <c r="D38" s="297">
        <v>1</v>
      </c>
      <c r="E38" s="297" t="s">
        <v>168</v>
      </c>
      <c r="F38" s="298">
        <v>169.92</v>
      </c>
      <c r="G38" s="297">
        <v>12</v>
      </c>
      <c r="H38" s="298">
        <f t="shared" si="6"/>
        <v>1</v>
      </c>
      <c r="I38" s="299">
        <f t="shared" si="7"/>
        <v>169.92</v>
      </c>
    </row>
    <row r="39" spans="1:9" x14ac:dyDescent="0.3">
      <c r="A39" s="1079"/>
      <c r="B39" s="1072" t="s">
        <v>352</v>
      </c>
      <c r="C39" s="1073"/>
      <c r="D39" s="301">
        <v>1</v>
      </c>
      <c r="E39" s="301" t="s">
        <v>168</v>
      </c>
      <c r="F39" s="302">
        <v>157.72</v>
      </c>
      <c r="G39" s="301">
        <v>12</v>
      </c>
      <c r="H39" s="275">
        <f t="shared" si="6"/>
        <v>1</v>
      </c>
      <c r="I39" s="277">
        <f t="shared" si="7"/>
        <v>157.72</v>
      </c>
    </row>
    <row r="40" spans="1:9" ht="15" thickBot="1" x14ac:dyDescent="0.35">
      <c r="A40" s="1079"/>
      <c r="B40" s="1095" t="s">
        <v>343</v>
      </c>
      <c r="C40" s="1096"/>
      <c r="D40" s="304">
        <v>1</v>
      </c>
      <c r="E40" s="304" t="s">
        <v>168</v>
      </c>
      <c r="F40" s="305">
        <v>13</v>
      </c>
      <c r="G40" s="304">
        <v>4</v>
      </c>
      <c r="H40" s="305">
        <f t="shared" si="6"/>
        <v>3</v>
      </c>
      <c r="I40" s="589">
        <f t="shared" si="7"/>
        <v>39</v>
      </c>
    </row>
    <row r="41" spans="1:9" ht="15" thickBot="1" x14ac:dyDescent="0.35">
      <c r="A41" s="1101"/>
      <c r="B41" s="1097" t="s">
        <v>348</v>
      </c>
      <c r="C41" s="1084"/>
      <c r="D41" s="1084"/>
      <c r="E41" s="1084"/>
      <c r="F41" s="1084"/>
      <c r="G41" s="1084"/>
      <c r="H41" s="1085"/>
      <c r="I41" s="590">
        <f>SUM(I34:I40)</f>
        <v>560.64</v>
      </c>
    </row>
    <row r="42" spans="1:9" ht="66.599999999999994" thickBot="1" x14ac:dyDescent="0.35">
      <c r="A42" s="295" t="s">
        <v>327</v>
      </c>
      <c r="B42" s="1086" t="s">
        <v>328</v>
      </c>
      <c r="C42" s="1087"/>
      <c r="D42" s="295" t="s">
        <v>329</v>
      </c>
      <c r="E42" s="295" t="s">
        <v>330</v>
      </c>
      <c r="F42" s="295" t="s">
        <v>331</v>
      </c>
      <c r="G42" s="295" t="s">
        <v>332</v>
      </c>
      <c r="H42" s="296" t="s">
        <v>333</v>
      </c>
      <c r="I42" s="295" t="s">
        <v>334</v>
      </c>
    </row>
    <row r="43" spans="1:9" x14ac:dyDescent="0.3">
      <c r="A43" s="1088" t="s">
        <v>200</v>
      </c>
      <c r="B43" s="1091" t="s">
        <v>353</v>
      </c>
      <c r="C43" s="1092"/>
      <c r="D43" s="297">
        <v>1</v>
      </c>
      <c r="E43" s="297" t="s">
        <v>168</v>
      </c>
      <c r="F43" s="298">
        <v>148</v>
      </c>
      <c r="G43" s="297">
        <v>36</v>
      </c>
      <c r="H43" s="298">
        <f t="shared" ref="H43:H58" si="8">12/G43*D43</f>
        <v>0.33333333333333331</v>
      </c>
      <c r="I43" s="299">
        <f t="shared" ref="I43:I58" si="9">F43*H43</f>
        <v>49.333333333333329</v>
      </c>
    </row>
    <row r="44" spans="1:9" x14ac:dyDescent="0.3">
      <c r="A44" s="1089"/>
      <c r="B44" s="1072" t="s">
        <v>354</v>
      </c>
      <c r="C44" s="1073"/>
      <c r="D44" s="300">
        <v>1</v>
      </c>
      <c r="E44" s="300" t="s">
        <v>168</v>
      </c>
      <c r="F44" s="275">
        <v>158</v>
      </c>
      <c r="G44" s="300">
        <v>36</v>
      </c>
      <c r="H44" s="275">
        <f t="shared" si="8"/>
        <v>0.33333333333333331</v>
      </c>
      <c r="I44" s="303">
        <f t="shared" si="9"/>
        <v>52.666666666666664</v>
      </c>
    </row>
    <row r="45" spans="1:9" x14ac:dyDescent="0.3">
      <c r="A45" s="1089"/>
      <c r="B45" s="1072" t="s">
        <v>355</v>
      </c>
      <c r="C45" s="1073"/>
      <c r="D45" s="300">
        <v>1</v>
      </c>
      <c r="E45" s="300" t="s">
        <v>168</v>
      </c>
      <c r="F45" s="275">
        <v>200</v>
      </c>
      <c r="G45" s="300">
        <v>36</v>
      </c>
      <c r="H45" s="275">
        <f t="shared" si="8"/>
        <v>0.33333333333333331</v>
      </c>
      <c r="I45" s="303">
        <f t="shared" si="9"/>
        <v>66.666666666666657</v>
      </c>
    </row>
    <row r="46" spans="1:9" ht="21.6" customHeight="1" x14ac:dyDescent="0.3">
      <c r="A46" s="1089"/>
      <c r="B46" s="1093" t="s">
        <v>356</v>
      </c>
      <c r="C46" s="1094"/>
      <c r="D46" s="300">
        <v>1</v>
      </c>
      <c r="E46" s="300" t="s">
        <v>168</v>
      </c>
      <c r="F46" s="275">
        <v>250</v>
      </c>
      <c r="G46" s="300">
        <v>36</v>
      </c>
      <c r="H46" s="275">
        <f t="shared" si="8"/>
        <v>0.33333333333333331</v>
      </c>
      <c r="I46" s="303">
        <f t="shared" si="9"/>
        <v>83.333333333333329</v>
      </c>
    </row>
    <row r="47" spans="1:9" x14ac:dyDescent="0.3">
      <c r="A47" s="1089"/>
      <c r="B47" s="1072" t="s">
        <v>357</v>
      </c>
      <c r="C47" s="1073"/>
      <c r="D47" s="300">
        <v>1</v>
      </c>
      <c r="E47" s="300" t="s">
        <v>168</v>
      </c>
      <c r="F47" s="275">
        <v>57</v>
      </c>
      <c r="G47" s="300">
        <v>36</v>
      </c>
      <c r="H47" s="275">
        <f t="shared" si="8"/>
        <v>0.33333333333333331</v>
      </c>
      <c r="I47" s="303">
        <f t="shared" si="9"/>
        <v>19</v>
      </c>
    </row>
    <row r="48" spans="1:9" x14ac:dyDescent="0.3">
      <c r="A48" s="1089"/>
      <c r="B48" s="1072" t="s">
        <v>358</v>
      </c>
      <c r="C48" s="1073"/>
      <c r="D48" s="300">
        <v>1</v>
      </c>
      <c r="E48" s="300" t="s">
        <v>168</v>
      </c>
      <c r="F48" s="275">
        <v>39</v>
      </c>
      <c r="G48" s="300">
        <v>36</v>
      </c>
      <c r="H48" s="275">
        <f t="shared" si="8"/>
        <v>0.33333333333333331</v>
      </c>
      <c r="I48" s="303">
        <f t="shared" si="9"/>
        <v>13</v>
      </c>
    </row>
    <row r="49" spans="1:9" x14ac:dyDescent="0.3">
      <c r="A49" s="1089"/>
      <c r="B49" s="1072" t="s">
        <v>359</v>
      </c>
      <c r="C49" s="1073"/>
      <c r="D49" s="300">
        <v>1</v>
      </c>
      <c r="E49" s="300" t="s">
        <v>168</v>
      </c>
      <c r="F49" s="275">
        <v>95</v>
      </c>
      <c r="G49" s="300">
        <v>36</v>
      </c>
      <c r="H49" s="275">
        <f t="shared" si="8"/>
        <v>0.33333333333333331</v>
      </c>
      <c r="I49" s="303">
        <f t="shared" si="9"/>
        <v>31.666666666666664</v>
      </c>
    </row>
    <row r="50" spans="1:9" x14ac:dyDescent="0.3">
      <c r="A50" s="1089"/>
      <c r="B50" s="1072" t="s">
        <v>360</v>
      </c>
      <c r="C50" s="1073"/>
      <c r="D50" s="300">
        <v>1</v>
      </c>
      <c r="E50" s="300" t="s">
        <v>168</v>
      </c>
      <c r="F50" s="275">
        <v>37</v>
      </c>
      <c r="G50" s="300">
        <v>36</v>
      </c>
      <c r="H50" s="275">
        <f t="shared" si="8"/>
        <v>0.33333333333333331</v>
      </c>
      <c r="I50" s="303">
        <f t="shared" si="9"/>
        <v>12.333333333333332</v>
      </c>
    </row>
    <row r="51" spans="1:9" ht="15" thickBot="1" x14ac:dyDescent="0.35">
      <c r="A51" s="1089"/>
      <c r="B51" s="1095" t="s">
        <v>361</v>
      </c>
      <c r="C51" s="1096"/>
      <c r="D51" s="304">
        <v>1</v>
      </c>
      <c r="E51" s="304" t="s">
        <v>168</v>
      </c>
      <c r="F51" s="305">
        <v>65</v>
      </c>
      <c r="G51" s="304">
        <v>36</v>
      </c>
      <c r="H51" s="305">
        <f t="shared" si="8"/>
        <v>0.33333333333333331</v>
      </c>
      <c r="I51" s="589">
        <f t="shared" si="9"/>
        <v>21.666666666666664</v>
      </c>
    </row>
    <row r="52" spans="1:9" x14ac:dyDescent="0.3">
      <c r="A52" s="1089"/>
      <c r="B52" s="1091" t="s">
        <v>362</v>
      </c>
      <c r="C52" s="1092"/>
      <c r="D52" s="301">
        <v>1</v>
      </c>
      <c r="E52" s="301" t="s">
        <v>168</v>
      </c>
      <c r="F52" s="302">
        <v>410</v>
      </c>
      <c r="G52" s="301">
        <v>12</v>
      </c>
      <c r="H52" s="302">
        <f t="shared" si="8"/>
        <v>1</v>
      </c>
      <c r="I52" s="303">
        <f t="shared" si="9"/>
        <v>410</v>
      </c>
    </row>
    <row r="53" spans="1:9" x14ac:dyDescent="0.3">
      <c r="A53" s="1089"/>
      <c r="B53" s="1072" t="s">
        <v>352</v>
      </c>
      <c r="C53" s="1073"/>
      <c r="D53" s="300">
        <v>1</v>
      </c>
      <c r="E53" s="300" t="s">
        <v>342</v>
      </c>
      <c r="F53" s="275">
        <v>160</v>
      </c>
      <c r="G53" s="300">
        <v>12</v>
      </c>
      <c r="H53" s="275">
        <f t="shared" si="8"/>
        <v>1</v>
      </c>
      <c r="I53" s="303">
        <f t="shared" si="9"/>
        <v>160</v>
      </c>
    </row>
    <row r="54" spans="1:9" x14ac:dyDescent="0.3">
      <c r="A54" s="1089"/>
      <c r="B54" s="1072" t="s">
        <v>341</v>
      </c>
      <c r="C54" s="1073"/>
      <c r="D54" s="300">
        <v>1</v>
      </c>
      <c r="E54" s="300" t="s">
        <v>342</v>
      </c>
      <c r="F54" s="275">
        <v>12</v>
      </c>
      <c r="G54" s="300">
        <v>2</v>
      </c>
      <c r="H54" s="275">
        <f t="shared" si="8"/>
        <v>6</v>
      </c>
      <c r="I54" s="303">
        <f t="shared" si="9"/>
        <v>72</v>
      </c>
    </row>
    <row r="55" spans="1:9" x14ac:dyDescent="0.3">
      <c r="A55" s="1089"/>
      <c r="B55" s="1072" t="s">
        <v>363</v>
      </c>
      <c r="C55" s="1073"/>
      <c r="D55" s="300">
        <v>1</v>
      </c>
      <c r="E55" s="300" t="s">
        <v>168</v>
      </c>
      <c r="F55" s="275">
        <v>30</v>
      </c>
      <c r="G55" s="300">
        <v>12</v>
      </c>
      <c r="H55" s="275">
        <f t="shared" si="8"/>
        <v>1</v>
      </c>
      <c r="I55" s="303">
        <f t="shared" si="9"/>
        <v>30</v>
      </c>
    </row>
    <row r="56" spans="1:9" x14ac:dyDescent="0.3">
      <c r="A56" s="1089"/>
      <c r="B56" s="1072" t="s">
        <v>364</v>
      </c>
      <c r="C56" s="1073"/>
      <c r="D56" s="300">
        <v>1</v>
      </c>
      <c r="E56" s="300" t="s">
        <v>342</v>
      </c>
      <c r="F56" s="275">
        <v>340</v>
      </c>
      <c r="G56" s="300">
        <v>24</v>
      </c>
      <c r="H56" s="275">
        <f t="shared" si="8"/>
        <v>0.5</v>
      </c>
      <c r="I56" s="303">
        <f t="shared" si="9"/>
        <v>170</v>
      </c>
    </row>
    <row r="57" spans="1:9" x14ac:dyDescent="0.3">
      <c r="A57" s="1089"/>
      <c r="B57" s="1072" t="s">
        <v>365</v>
      </c>
      <c r="C57" s="1073"/>
      <c r="D57" s="300">
        <v>1</v>
      </c>
      <c r="E57" s="300" t="s">
        <v>168</v>
      </c>
      <c r="F57" s="275">
        <v>320</v>
      </c>
      <c r="G57" s="300">
        <v>36</v>
      </c>
      <c r="H57" s="275">
        <f t="shared" si="8"/>
        <v>0.33333333333333331</v>
      </c>
      <c r="I57" s="303">
        <f t="shared" si="9"/>
        <v>106.66666666666666</v>
      </c>
    </row>
    <row r="58" spans="1:9" ht="15" thickBot="1" x14ac:dyDescent="0.35">
      <c r="A58" s="1089"/>
      <c r="B58" s="1074" t="s">
        <v>366</v>
      </c>
      <c r="C58" s="1075"/>
      <c r="D58" s="369">
        <v>1</v>
      </c>
      <c r="E58" s="369" t="s">
        <v>168</v>
      </c>
      <c r="F58" s="591">
        <v>279</v>
      </c>
      <c r="G58" s="369">
        <v>36</v>
      </c>
      <c r="H58" s="368">
        <f t="shared" si="8"/>
        <v>0.33333333333333331</v>
      </c>
      <c r="I58" s="303">
        <f t="shared" si="9"/>
        <v>93</v>
      </c>
    </row>
    <row r="59" spans="1:9" ht="15" thickBot="1" x14ac:dyDescent="0.35">
      <c r="A59" s="1090"/>
      <c r="B59" s="1097" t="s">
        <v>348</v>
      </c>
      <c r="C59" s="1084"/>
      <c r="D59" s="1084"/>
      <c r="E59" s="1084"/>
      <c r="F59" s="1084"/>
      <c r="G59" s="1084"/>
      <c r="H59" s="1085"/>
      <c r="I59" s="592">
        <f>SUM(I43:I58)</f>
        <v>1391.3333333333335</v>
      </c>
    </row>
    <row r="60" spans="1:9" x14ac:dyDescent="0.3">
      <c r="A60" s="1078" t="s">
        <v>322</v>
      </c>
      <c r="B60" s="1081" t="s">
        <v>367</v>
      </c>
      <c r="C60" s="1082"/>
      <c r="D60" s="632">
        <v>1</v>
      </c>
      <c r="E60" s="632" t="s">
        <v>168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1079"/>
      <c r="B61" s="1071" t="s">
        <v>368</v>
      </c>
      <c r="C61" s="1062"/>
      <c r="D61" s="635">
        <v>1</v>
      </c>
      <c r="E61" s="635" t="s">
        <v>168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1079"/>
      <c r="B62" s="1071" t="s">
        <v>369</v>
      </c>
      <c r="C62" s="1062"/>
      <c r="D62" s="635">
        <v>1</v>
      </c>
      <c r="E62" s="635" t="s">
        <v>168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1079"/>
      <c r="B63" s="1071" t="s">
        <v>370</v>
      </c>
      <c r="C63" s="1062"/>
      <c r="D63" s="635">
        <v>1</v>
      </c>
      <c r="E63" s="635" t="s">
        <v>168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1079"/>
      <c r="B64" s="1071" t="s">
        <v>371</v>
      </c>
      <c r="C64" s="1062"/>
      <c r="D64" s="635">
        <v>1</v>
      </c>
      <c r="E64" s="635" t="s">
        <v>168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1079"/>
      <c r="B65" s="1071" t="s">
        <v>372</v>
      </c>
      <c r="C65" s="1062"/>
      <c r="D65" s="635">
        <v>1</v>
      </c>
      <c r="E65" s="635" t="s">
        <v>168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1079"/>
      <c r="B66" s="1081" t="s">
        <v>362</v>
      </c>
      <c r="C66" s="1082"/>
      <c r="D66" s="638">
        <v>1</v>
      </c>
      <c r="E66" s="638" t="s">
        <v>168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1079"/>
      <c r="B67" s="1071" t="s">
        <v>352</v>
      </c>
      <c r="C67" s="1062"/>
      <c r="D67" s="635">
        <v>1</v>
      </c>
      <c r="E67" s="635" t="s">
        <v>342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1079"/>
      <c r="B68" s="1071" t="s">
        <v>373</v>
      </c>
      <c r="C68" s="1062"/>
      <c r="D68" s="635">
        <v>1</v>
      </c>
      <c r="E68" s="635" t="s">
        <v>168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1079"/>
      <c r="B69" s="1071" t="s">
        <v>341</v>
      </c>
      <c r="C69" s="1062"/>
      <c r="D69" s="635">
        <v>1</v>
      </c>
      <c r="E69" s="635" t="s">
        <v>342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1079"/>
      <c r="B70" s="1072" t="s">
        <v>365</v>
      </c>
      <c r="C70" s="1073"/>
      <c r="D70" s="300">
        <v>1</v>
      </c>
      <c r="E70" s="300" t="s">
        <v>168</v>
      </c>
      <c r="F70" s="275">
        <v>320</v>
      </c>
      <c r="G70" s="300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1079"/>
      <c r="B71" s="1074" t="s">
        <v>366</v>
      </c>
      <c r="C71" s="1075"/>
      <c r="D71" s="369">
        <v>1</v>
      </c>
      <c r="E71" s="369" t="s">
        <v>168</v>
      </c>
      <c r="F71" s="591">
        <v>279</v>
      </c>
      <c r="G71" s="369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1079"/>
      <c r="B72" s="1071" t="s">
        <v>374</v>
      </c>
      <c r="C72" s="1062"/>
      <c r="D72" s="635">
        <v>1</v>
      </c>
      <c r="E72" s="635" t="s">
        <v>342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1079"/>
      <c r="B73" s="1076" t="s">
        <v>375</v>
      </c>
      <c r="C73" s="1077"/>
      <c r="D73" s="640">
        <v>1</v>
      </c>
      <c r="E73" s="640" t="s">
        <v>342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1080"/>
      <c r="B74" s="1083" t="s">
        <v>348</v>
      </c>
      <c r="C74" s="1084"/>
      <c r="D74" s="1084"/>
      <c r="E74" s="1084"/>
      <c r="F74" s="1084"/>
      <c r="G74" s="1084"/>
      <c r="H74" s="1085"/>
      <c r="I74" s="642">
        <f>SUM(I60:I73)</f>
        <v>1241.5366666666666</v>
      </c>
    </row>
    <row r="75" spans="1:9" x14ac:dyDescent="0.3">
      <c r="A75" s="1063" t="s">
        <v>323</v>
      </c>
      <c r="B75" s="1064" t="s">
        <v>341</v>
      </c>
      <c r="C75" s="1065"/>
      <c r="D75" s="644">
        <v>1</v>
      </c>
      <c r="E75" s="393" t="s">
        <v>342</v>
      </c>
      <c r="F75" s="645">
        <v>12</v>
      </c>
      <c r="G75" s="644">
        <v>3</v>
      </c>
      <c r="H75" s="645">
        <f>12/G75*D75</f>
        <v>4</v>
      </c>
      <c r="I75" s="276">
        <f>F75*H75</f>
        <v>48</v>
      </c>
    </row>
    <row r="76" spans="1:9" x14ac:dyDescent="0.3">
      <c r="A76" s="1063"/>
      <c r="B76" s="1064" t="s">
        <v>362</v>
      </c>
      <c r="C76" s="1065"/>
      <c r="D76" s="644">
        <v>1</v>
      </c>
      <c r="E76" s="393" t="s">
        <v>168</v>
      </c>
      <c r="F76" s="645">
        <v>410</v>
      </c>
      <c r="G76" s="644">
        <v>12</v>
      </c>
      <c r="H76" s="645">
        <f>12/G76*D76</f>
        <v>1</v>
      </c>
      <c r="I76" s="276">
        <f>F76*H76</f>
        <v>410</v>
      </c>
    </row>
    <row r="77" spans="1:9" x14ac:dyDescent="0.3">
      <c r="A77" s="1063"/>
      <c r="B77" s="1064" t="s">
        <v>352</v>
      </c>
      <c r="C77" s="1065"/>
      <c r="D77" s="644">
        <v>1</v>
      </c>
      <c r="E77" s="393" t="s">
        <v>342</v>
      </c>
      <c r="F77" s="645">
        <v>160</v>
      </c>
      <c r="G77" s="644">
        <v>24</v>
      </c>
      <c r="H77" s="645">
        <f>12/G77*D77</f>
        <v>0.5</v>
      </c>
      <c r="I77" s="276">
        <f>F77*H77</f>
        <v>80</v>
      </c>
    </row>
    <row r="78" spans="1:9" ht="15" thickBot="1" x14ac:dyDescent="0.35">
      <c r="A78" s="1063"/>
      <c r="B78" s="1066" t="s">
        <v>376</v>
      </c>
      <c r="C78" s="1067"/>
      <c r="D78" s="648">
        <v>1</v>
      </c>
      <c r="E78" s="649" t="s">
        <v>168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1063"/>
      <c r="B79" s="1068" t="s">
        <v>348</v>
      </c>
      <c r="C79" s="1069"/>
      <c r="D79" s="1069"/>
      <c r="E79" s="1069"/>
      <c r="F79" s="1069"/>
      <c r="G79" s="1069"/>
      <c r="H79" s="1070"/>
      <c r="I79" s="652">
        <f>SUM(I75:I78)</f>
        <v>644.66666666666663</v>
      </c>
    </row>
    <row r="80" spans="1:9" x14ac:dyDescent="0.3">
      <c r="A80" s="1017" t="s">
        <v>202</v>
      </c>
      <c r="B80" s="1058" t="s">
        <v>362</v>
      </c>
      <c r="C80" s="1058"/>
      <c r="D80" s="632">
        <v>1</v>
      </c>
      <c r="E80" s="632" t="s">
        <v>168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56"/>
      <c r="B81" s="1059" t="s">
        <v>352</v>
      </c>
      <c r="C81" s="1059"/>
      <c r="D81" s="635">
        <v>1</v>
      </c>
      <c r="E81" s="635" t="s">
        <v>342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56"/>
      <c r="B82" s="1059" t="s">
        <v>341</v>
      </c>
      <c r="C82" s="1059"/>
      <c r="D82" s="635">
        <v>1</v>
      </c>
      <c r="E82" s="635" t="s">
        <v>342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56"/>
      <c r="B83" s="1060" t="s">
        <v>365</v>
      </c>
      <c r="C83" s="1060"/>
      <c r="D83" s="300">
        <v>1</v>
      </c>
      <c r="E83" s="300" t="s">
        <v>168</v>
      </c>
      <c r="F83" s="275">
        <v>320</v>
      </c>
      <c r="G83" s="300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56"/>
      <c r="B84" s="1060" t="s">
        <v>366</v>
      </c>
      <c r="C84" s="1060"/>
      <c r="D84" s="300">
        <v>1</v>
      </c>
      <c r="E84" s="300" t="s">
        <v>168</v>
      </c>
      <c r="F84" s="275">
        <v>279</v>
      </c>
      <c r="G84" s="300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56"/>
      <c r="B85" s="1059" t="s">
        <v>377</v>
      </c>
      <c r="C85" s="1059"/>
      <c r="D85" s="644">
        <v>1</v>
      </c>
      <c r="E85" s="300" t="s">
        <v>168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56"/>
      <c r="B86" s="1061" t="s">
        <v>378</v>
      </c>
      <c r="C86" s="1062"/>
      <c r="D86" s="646">
        <v>1</v>
      </c>
      <c r="E86" s="300" t="s">
        <v>168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56"/>
      <c r="B87" s="1061" t="s">
        <v>379</v>
      </c>
      <c r="C87" s="1062"/>
      <c r="D87" s="646">
        <v>1</v>
      </c>
      <c r="E87" s="300" t="s">
        <v>168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57"/>
      <c r="B88" s="1040" t="s">
        <v>348</v>
      </c>
      <c r="C88" s="1040"/>
      <c r="D88" s="1040"/>
      <c r="E88" s="1040"/>
      <c r="F88" s="1040"/>
      <c r="G88" s="1040"/>
      <c r="H88" s="1040"/>
      <c r="I88" s="647">
        <f>SUM(I80:I87)</f>
        <v>2077.1666666666665</v>
      </c>
    </row>
    <row r="89" spans="1:9" x14ac:dyDescent="0.3">
      <c r="A89" s="564"/>
      <c r="B89" s="565"/>
      <c r="C89" s="262"/>
      <c r="D89" s="262"/>
      <c r="E89" s="262"/>
      <c r="F89" s="262"/>
      <c r="G89" s="262"/>
      <c r="H89" s="262"/>
      <c r="I89" s="593"/>
    </row>
    <row r="90" spans="1:9" x14ac:dyDescent="0.3">
      <c r="A90" s="564"/>
      <c r="B90" s="565"/>
      <c r="C90" s="262"/>
      <c r="D90" s="262"/>
      <c r="E90" s="262"/>
      <c r="F90" s="262"/>
      <c r="G90" s="262"/>
      <c r="H90" s="262"/>
      <c r="I90" s="593"/>
    </row>
    <row r="91" spans="1:9" x14ac:dyDescent="0.3">
      <c r="A91" s="564"/>
      <c r="B91" s="565"/>
      <c r="C91" s="262"/>
      <c r="D91" s="262"/>
      <c r="E91" s="262"/>
      <c r="F91" s="262"/>
      <c r="G91" s="262"/>
      <c r="H91" s="262"/>
      <c r="I91" s="593"/>
    </row>
    <row r="92" spans="1:9" ht="12.6" customHeight="1" x14ac:dyDescent="0.3">
      <c r="A92" s="564"/>
      <c r="B92" s="565"/>
      <c r="C92" s="262"/>
      <c r="D92" s="262"/>
      <c r="E92" s="262"/>
      <c r="F92" s="262"/>
      <c r="G92" s="262"/>
      <c r="H92" s="262"/>
      <c r="I92" s="593"/>
    </row>
    <row r="93" spans="1:9" ht="11.4" customHeight="1" x14ac:dyDescent="0.3">
      <c r="A93" s="564"/>
      <c r="B93" s="565"/>
      <c r="C93" s="262"/>
      <c r="D93" s="262"/>
      <c r="E93" s="262"/>
      <c r="F93" s="262"/>
      <c r="G93" s="262"/>
      <c r="H93" s="262"/>
      <c r="I93" s="593"/>
    </row>
    <row r="94" spans="1:9" ht="11.4" customHeight="1" x14ac:dyDescent="0.3">
      <c r="A94" s="262"/>
      <c r="B94" s="262"/>
      <c r="C94" s="262"/>
      <c r="D94" s="262"/>
      <c r="E94" s="262"/>
      <c r="F94" s="262"/>
      <c r="G94" s="262"/>
      <c r="H94" s="262"/>
      <c r="I94" s="262"/>
    </row>
    <row r="95" spans="1:9" ht="36.6" hidden="1" customHeight="1" x14ac:dyDescent="0.3">
      <c r="A95" s="1041" t="s">
        <v>380</v>
      </c>
      <c r="B95" s="1042"/>
      <c r="C95" s="1042"/>
      <c r="D95" s="1042"/>
      <c r="E95" s="1042"/>
      <c r="F95" s="1042"/>
      <c r="G95" s="1042"/>
      <c r="H95" s="1042"/>
      <c r="I95" s="1042"/>
    </row>
    <row r="96" spans="1:9" ht="15" hidden="1" thickBot="1" x14ac:dyDescent="0.35">
      <c r="A96" s="1043" t="s">
        <v>381</v>
      </c>
      <c r="B96" s="1044"/>
      <c r="C96" s="1044"/>
      <c r="D96" s="1044"/>
      <c r="E96" s="1044"/>
      <c r="F96" s="1044"/>
      <c r="G96" s="1044"/>
      <c r="H96" s="1044"/>
      <c r="I96" s="1044"/>
    </row>
    <row r="97" spans="1:10" hidden="1" x14ac:dyDescent="0.3">
      <c r="A97" s="1045" t="s">
        <v>231</v>
      </c>
      <c r="B97" s="1046"/>
      <c r="C97" s="1049" t="s">
        <v>232</v>
      </c>
      <c r="D97" s="1051" t="s">
        <v>382</v>
      </c>
      <c r="E97" s="1052" t="s">
        <v>383</v>
      </c>
      <c r="F97" s="1053"/>
      <c r="G97" s="1054" t="s">
        <v>384</v>
      </c>
      <c r="H97" s="1055"/>
      <c r="I97" s="371" t="s">
        <v>237</v>
      </c>
    </row>
    <row r="98" spans="1:10" ht="21.6" hidden="1" x14ac:dyDescent="0.3">
      <c r="A98" s="1047"/>
      <c r="B98" s="1048"/>
      <c r="C98" s="1050"/>
      <c r="D98" s="1050"/>
      <c r="E98" s="372" t="s">
        <v>385</v>
      </c>
      <c r="F98" s="372" t="s">
        <v>386</v>
      </c>
      <c r="G98" s="372" t="s">
        <v>385</v>
      </c>
      <c r="H98" s="372" t="s">
        <v>386</v>
      </c>
      <c r="I98" s="373"/>
    </row>
    <row r="99" spans="1:10" hidden="1" x14ac:dyDescent="0.3">
      <c r="A99" s="716" t="s">
        <v>246</v>
      </c>
      <c r="B99" s="891"/>
      <c r="C99" s="891"/>
      <c r="D99" s="891"/>
      <c r="E99" s="891"/>
      <c r="F99" s="1029"/>
      <c r="G99" s="374"/>
      <c r="H99" s="374"/>
      <c r="I99" s="375"/>
    </row>
    <row r="100" spans="1:10" hidden="1" x14ac:dyDescent="0.3">
      <c r="A100" s="1030" t="s">
        <v>241</v>
      </c>
      <c r="B100" s="1031"/>
      <c r="C100" s="376">
        <f>[1]Таблица_Характеристика!G50+[1]Таблица_Характеристика!G51</f>
        <v>0</v>
      </c>
      <c r="D100" s="376"/>
      <c r="E100" s="377">
        <v>7.4999999999999997E-2</v>
      </c>
      <c r="F100" s="377">
        <v>0</v>
      </c>
      <c r="G100" s="377">
        <f>C100/100*E100*D100</f>
        <v>0</v>
      </c>
      <c r="H100" s="377">
        <v>0</v>
      </c>
      <c r="I100" s="378" t="s">
        <v>247</v>
      </c>
    </row>
    <row r="101" spans="1:10" hidden="1" x14ac:dyDescent="0.3">
      <c r="A101" s="1030" t="s">
        <v>242</v>
      </c>
      <c r="B101" s="1031"/>
      <c r="C101" s="376">
        <f>[1]Таблица_Характеристика!J50+[1]Таблица_Характеристика!J51</f>
        <v>0</v>
      </c>
      <c r="D101" s="376"/>
      <c r="E101" s="377">
        <v>0.09</v>
      </c>
      <c r="F101" s="377">
        <v>0</v>
      </c>
      <c r="G101" s="377">
        <f>C101/100*E101*D101</f>
        <v>0</v>
      </c>
      <c r="H101" s="377">
        <v>0</v>
      </c>
      <c r="I101" s="378" t="s">
        <v>248</v>
      </c>
    </row>
    <row r="102" spans="1:10" hidden="1" x14ac:dyDescent="0.3">
      <c r="A102" s="1030" t="s">
        <v>243</v>
      </c>
      <c r="B102" s="1031"/>
      <c r="C102" s="376">
        <f>[1]Таблица_Характеристика!L50+[1]Таблица_Характеристика!L51</f>
        <v>0</v>
      </c>
      <c r="D102" s="376"/>
      <c r="E102" s="377">
        <v>0.11</v>
      </c>
      <c r="F102" s="377">
        <v>0</v>
      </c>
      <c r="G102" s="377">
        <f>C102/100*E102*D102</f>
        <v>0</v>
      </c>
      <c r="H102" s="377">
        <v>0</v>
      </c>
      <c r="I102" s="378" t="s">
        <v>249</v>
      </c>
    </row>
    <row r="103" spans="1:10" hidden="1" x14ac:dyDescent="0.3">
      <c r="A103" s="1032" t="s">
        <v>222</v>
      </c>
      <c r="B103" s="1033"/>
      <c r="C103" s="1038" t="s">
        <v>111</v>
      </c>
      <c r="D103" s="1039"/>
      <c r="E103" s="379"/>
      <c r="F103" s="379"/>
      <c r="G103" s="380">
        <f>SUM(G100:G102)</f>
        <v>0</v>
      </c>
      <c r="H103" s="380">
        <f>SUM(H100:H102)</f>
        <v>0</v>
      </c>
      <c r="I103" s="1010">
        <f>G105+H105</f>
        <v>0</v>
      </c>
    </row>
    <row r="104" spans="1:10" hidden="1" x14ac:dyDescent="0.3">
      <c r="A104" s="1034"/>
      <c r="B104" s="1035"/>
      <c r="C104" s="1013" t="s">
        <v>331</v>
      </c>
      <c r="D104" s="1014"/>
      <c r="E104" s="376"/>
      <c r="F104" s="376"/>
      <c r="G104" s="380">
        <f>[1]Расчет!C25</f>
        <v>0</v>
      </c>
      <c r="H104" s="379">
        <v>0</v>
      </c>
      <c r="I104" s="1011"/>
    </row>
    <row r="105" spans="1:10" hidden="1" x14ac:dyDescent="0.3">
      <c r="A105" s="1036"/>
      <c r="B105" s="1037"/>
      <c r="C105" s="1013" t="s">
        <v>387</v>
      </c>
      <c r="D105" s="1014"/>
      <c r="E105" s="376"/>
      <c r="F105" s="376"/>
      <c r="G105" s="379">
        <f>G103*G104</f>
        <v>0</v>
      </c>
      <c r="H105" s="379">
        <f>H103*H104</f>
        <v>0</v>
      </c>
      <c r="I105" s="1012"/>
    </row>
    <row r="106" spans="1:10" ht="15" thickBot="1" x14ac:dyDescent="0.35">
      <c r="A106" s="1015"/>
      <c r="B106" s="1016"/>
      <c r="C106" s="381"/>
      <c r="D106" s="381"/>
      <c r="E106" s="382"/>
      <c r="F106" s="382"/>
      <c r="G106" s="382"/>
      <c r="H106" s="382"/>
      <c r="I106" s="383"/>
    </row>
    <row r="107" spans="1:10" ht="41.4" customHeight="1" x14ac:dyDescent="0.3">
      <c r="A107" s="1017" t="s">
        <v>231</v>
      </c>
      <c r="B107" s="1019" t="s">
        <v>388</v>
      </c>
      <c r="C107" s="1020"/>
      <c r="D107" s="1021" t="s">
        <v>389</v>
      </c>
      <c r="E107" s="1023" t="s">
        <v>390</v>
      </c>
      <c r="F107" s="1024"/>
      <c r="G107" s="1025" t="s">
        <v>391</v>
      </c>
      <c r="H107" s="1027" t="s">
        <v>392</v>
      </c>
      <c r="I107" s="1028"/>
    </row>
    <row r="108" spans="1:10" ht="48.6" customHeight="1" thickBot="1" x14ac:dyDescent="0.35">
      <c r="A108" s="1018"/>
      <c r="B108" s="384" t="s">
        <v>393</v>
      </c>
      <c r="C108" s="384" t="s">
        <v>394</v>
      </c>
      <c r="D108" s="1022"/>
      <c r="E108" s="384" t="s">
        <v>393</v>
      </c>
      <c r="F108" s="384" t="s">
        <v>394</v>
      </c>
      <c r="G108" s="1026"/>
      <c r="H108" s="385" t="s">
        <v>395</v>
      </c>
      <c r="I108" s="386" t="s">
        <v>396</v>
      </c>
      <c r="J108">
        <f>26.6/1.2</f>
        <v>22.166666666666668</v>
      </c>
    </row>
    <row r="109" spans="1:10" ht="15" thickBot="1" x14ac:dyDescent="0.35">
      <c r="A109" s="1000" t="s">
        <v>397</v>
      </c>
      <c r="B109" s="880"/>
      <c r="C109" s="880"/>
      <c r="D109" s="1001"/>
      <c r="E109" s="1002" t="s">
        <v>398</v>
      </c>
      <c r="F109" s="1003"/>
      <c r="G109" s="1004"/>
      <c r="H109" s="387">
        <v>2.6499999999999999E-2</v>
      </c>
      <c r="I109" s="388">
        <v>0.53</v>
      </c>
      <c r="J109" t="s">
        <v>487</v>
      </c>
    </row>
    <row r="110" spans="1:10" ht="20.399999999999999" x14ac:dyDescent="0.3">
      <c r="A110" s="389" t="s">
        <v>399</v>
      </c>
      <c r="B110" s="376">
        <f>[1]Таблица_Характеристика!$H$59*(IF([1]Расчет!$D$35=1,1,0))</f>
        <v>0</v>
      </c>
      <c r="C110" s="376">
        <f>Характеристика!L49</f>
        <v>2500</v>
      </c>
      <c r="D110" s="390">
        <v>2</v>
      </c>
      <c r="E110" s="391"/>
      <c r="F110" s="391">
        <v>0.42</v>
      </c>
      <c r="G110" s="391">
        <f>((B110/100*E110)+(C110/100*F110))*D110</f>
        <v>21</v>
      </c>
      <c r="H110" s="391">
        <f>G110*H109</f>
        <v>0.55649999999999999</v>
      </c>
      <c r="I110" s="392">
        <f>G110*I109</f>
        <v>11.13</v>
      </c>
    </row>
    <row r="111" spans="1:10" x14ac:dyDescent="0.3">
      <c r="A111" s="1005" t="s">
        <v>222</v>
      </c>
      <c r="B111" s="1006" t="s">
        <v>111</v>
      </c>
      <c r="C111" s="1007"/>
      <c r="D111" s="390"/>
      <c r="E111" s="393"/>
      <c r="F111" s="393"/>
      <c r="G111" s="376"/>
      <c r="H111" s="379">
        <f>SUM(H110:H110)</f>
        <v>0.55649999999999999</v>
      </c>
      <c r="I111" s="394">
        <f>SUM(I110:I110)</f>
        <v>11.13</v>
      </c>
    </row>
    <row r="112" spans="1:10" x14ac:dyDescent="0.3">
      <c r="A112" s="1005"/>
      <c r="B112" s="1008" t="s">
        <v>331</v>
      </c>
      <c r="C112" s="1008"/>
      <c r="D112" s="390"/>
      <c r="E112" s="393"/>
      <c r="F112" s="393"/>
      <c r="G112" s="393"/>
      <c r="H112" s="379">
        <v>60</v>
      </c>
      <c r="I112" s="394">
        <v>22.17</v>
      </c>
    </row>
    <row r="113" spans="1:9" x14ac:dyDescent="0.3">
      <c r="A113" s="1005"/>
      <c r="B113" s="1009" t="s">
        <v>400</v>
      </c>
      <c r="C113" s="1009"/>
      <c r="D113" s="395"/>
      <c r="E113" s="396"/>
      <c r="F113" s="396"/>
      <c r="G113" s="396"/>
      <c r="H113" s="397">
        <f>H111*H112</f>
        <v>33.39</v>
      </c>
      <c r="I113" s="398">
        <f>I111*I112</f>
        <v>246.75210000000004</v>
      </c>
    </row>
    <row r="114" spans="1:9" x14ac:dyDescent="0.3">
      <c r="A114" s="1005"/>
      <c r="B114" s="995" t="s">
        <v>486</v>
      </c>
      <c r="C114" s="995"/>
      <c r="D114" s="995"/>
      <c r="E114" s="393"/>
      <c r="F114" s="393"/>
      <c r="G114" s="393"/>
      <c r="H114" s="379">
        <f>C110*0.0178</f>
        <v>44.5</v>
      </c>
      <c r="I114" s="379"/>
    </row>
    <row r="115" spans="1:9" x14ac:dyDescent="0.3">
      <c r="A115" s="399"/>
      <c r="B115" s="995" t="s">
        <v>401</v>
      </c>
      <c r="C115" s="995"/>
      <c r="D115" s="995"/>
      <c r="E115" s="393"/>
      <c r="F115" s="393"/>
      <c r="G115" s="393"/>
      <c r="H115" s="379">
        <f>G110*2.2</f>
        <v>46.2</v>
      </c>
      <c r="I115" s="379"/>
    </row>
    <row r="116" spans="1:9" x14ac:dyDescent="0.3">
      <c r="A116" s="399"/>
      <c r="B116" s="400"/>
      <c r="C116" s="400"/>
      <c r="D116" s="401"/>
      <c r="E116" s="402"/>
      <c r="F116" s="402"/>
      <c r="G116" s="402"/>
      <c r="H116" s="403"/>
      <c r="I116" s="403">
        <f>H113+I113+H114+H115</f>
        <v>370.84210000000002</v>
      </c>
    </row>
    <row r="117" spans="1:9" s="356" customFormat="1" x14ac:dyDescent="0.3">
      <c r="A117" s="357"/>
      <c r="B117" s="359"/>
      <c r="C117" s="359"/>
      <c r="D117" s="359"/>
      <c r="E117" s="359"/>
      <c r="F117" s="359"/>
      <c r="G117" s="359"/>
      <c r="H117" s="359"/>
      <c r="I117" s="359"/>
    </row>
    <row r="118" spans="1:9" s="356" customFormat="1" ht="15" thickBot="1" x14ac:dyDescent="0.35">
      <c r="A118" s="996" t="s">
        <v>402</v>
      </c>
      <c r="B118" s="997"/>
      <c r="C118" s="997"/>
      <c r="D118" s="997"/>
      <c r="E118" s="997"/>
      <c r="F118" s="997"/>
      <c r="G118" s="997"/>
      <c r="H118" s="997"/>
      <c r="I118" s="997"/>
    </row>
    <row r="119" spans="1:9" s="356" customFormat="1" x14ac:dyDescent="0.3">
      <c r="A119" s="951" t="s">
        <v>231</v>
      </c>
      <c r="B119" s="952"/>
      <c r="C119" s="955" t="s">
        <v>232</v>
      </c>
      <c r="D119" s="956" t="s">
        <v>233</v>
      </c>
      <c r="E119" s="966" t="s">
        <v>383</v>
      </c>
      <c r="F119" s="967"/>
      <c r="G119" s="998" t="s">
        <v>384</v>
      </c>
      <c r="H119" s="999"/>
      <c r="I119" s="309" t="s">
        <v>237</v>
      </c>
    </row>
    <row r="120" spans="1:9" s="356" customFormat="1" ht="15" thickBot="1" x14ac:dyDescent="0.35">
      <c r="A120" s="953"/>
      <c r="B120" s="954"/>
      <c r="C120" s="927"/>
      <c r="D120" s="927"/>
      <c r="E120" s="312" t="s">
        <v>385</v>
      </c>
      <c r="F120" s="312" t="s">
        <v>403</v>
      </c>
      <c r="G120" s="312" t="s">
        <v>385</v>
      </c>
      <c r="H120" s="312" t="s">
        <v>403</v>
      </c>
      <c r="I120" s="313"/>
    </row>
    <row r="121" spans="1:9" s="356" customFormat="1" ht="15" thickBot="1" x14ac:dyDescent="0.35">
      <c r="A121" s="991" t="s">
        <v>404</v>
      </c>
      <c r="B121" s="992"/>
      <c r="C121" s="314">
        <f>'[1]сходові клітки'!C37</f>
        <v>0</v>
      </c>
      <c r="D121" s="315"/>
      <c r="E121" s="316">
        <v>0.05</v>
      </c>
      <c r="F121" s="317">
        <v>2.3E-3</v>
      </c>
      <c r="G121" s="318">
        <f>C121/100*D121*E121</f>
        <v>0</v>
      </c>
      <c r="H121" s="316">
        <f>C121/100*D121*F121</f>
        <v>0</v>
      </c>
      <c r="I121" s="319" t="s">
        <v>405</v>
      </c>
    </row>
    <row r="122" spans="1:9" s="356" customFormat="1" x14ac:dyDescent="0.3">
      <c r="A122" s="993" t="s">
        <v>406</v>
      </c>
      <c r="B122" s="994"/>
      <c r="C122" s="314">
        <f>'[1]сходові клітки'!C38</f>
        <v>0</v>
      </c>
      <c r="D122" s="320"/>
      <c r="E122" s="310">
        <v>0.05</v>
      </c>
      <c r="F122" s="317">
        <v>1E-3</v>
      </c>
      <c r="G122" s="321">
        <f>C122/100*D122*E122</f>
        <v>0</v>
      </c>
      <c r="H122" s="322">
        <f>C122/100*D122*F122</f>
        <v>0</v>
      </c>
      <c r="I122" s="323" t="s">
        <v>407</v>
      </c>
    </row>
    <row r="123" spans="1:9" s="356" customFormat="1" x14ac:dyDescent="0.3">
      <c r="A123" s="987" t="s">
        <v>408</v>
      </c>
      <c r="B123" s="989"/>
      <c r="C123" s="990"/>
      <c r="D123" s="324"/>
      <c r="E123" s="321"/>
      <c r="F123" s="325"/>
      <c r="G123" s="321"/>
      <c r="H123" s="326"/>
      <c r="I123" s="327"/>
    </row>
    <row r="124" spans="1:9" s="356" customFormat="1" x14ac:dyDescent="0.3">
      <c r="A124" s="970" t="s">
        <v>409</v>
      </c>
      <c r="B124" s="985"/>
      <c r="C124" s="328">
        <f>'[1]сходові клітки'!C40</f>
        <v>0</v>
      </c>
      <c r="D124" s="324"/>
      <c r="E124" s="321">
        <v>5.0000000000000001E-3</v>
      </c>
      <c r="F124" s="325">
        <v>6.6E-3</v>
      </c>
      <c r="G124" s="321">
        <f>C124/100*E124*D124</f>
        <v>0</v>
      </c>
      <c r="H124" s="326">
        <f>C124/100*F124*D124</f>
        <v>0</v>
      </c>
      <c r="I124" s="327" t="s">
        <v>410</v>
      </c>
    </row>
    <row r="125" spans="1:9" s="356" customFormat="1" x14ac:dyDescent="0.3">
      <c r="A125" s="970" t="s">
        <v>411</v>
      </c>
      <c r="B125" s="985"/>
      <c r="C125" s="328">
        <f>'[1]сходові клітки'!C41</f>
        <v>0</v>
      </c>
      <c r="D125" s="324"/>
      <c r="E125" s="321">
        <v>5.0000000000000001E-3</v>
      </c>
      <c r="F125" s="325">
        <v>8.0000000000000002E-3</v>
      </c>
      <c r="G125" s="321">
        <f t="shared" ref="G125:G130" si="14">C125/100*E125*D125</f>
        <v>0</v>
      </c>
      <c r="H125" s="326">
        <f t="shared" ref="H125:H130" si="15">C125/100*F125*D125</f>
        <v>0</v>
      </c>
      <c r="I125" s="327" t="s">
        <v>412</v>
      </c>
    </row>
    <row r="126" spans="1:9" s="356" customFormat="1" x14ac:dyDescent="0.3">
      <c r="A126" s="970" t="s">
        <v>413</v>
      </c>
      <c r="B126" s="985"/>
      <c r="C126" s="328">
        <f>'[1]сходові клітки'!C42</f>
        <v>0</v>
      </c>
      <c r="D126" s="324"/>
      <c r="E126" s="321">
        <v>5.0000000000000001E-3</v>
      </c>
      <c r="F126" s="325">
        <v>8.3000000000000001E-3</v>
      </c>
      <c r="G126" s="321">
        <f t="shared" si="14"/>
        <v>0</v>
      </c>
      <c r="H126" s="326">
        <f t="shared" si="15"/>
        <v>0</v>
      </c>
      <c r="I126" s="327" t="s">
        <v>414</v>
      </c>
    </row>
    <row r="127" spans="1:9" s="356" customFormat="1" x14ac:dyDescent="0.3">
      <c r="A127" s="970" t="s">
        <v>415</v>
      </c>
      <c r="B127" s="985"/>
      <c r="C127" s="328">
        <f>'[1]сходові клітки'!C43</f>
        <v>0</v>
      </c>
      <c r="D127" s="324"/>
      <c r="E127" s="321">
        <v>5.0000000000000001E-3</v>
      </c>
      <c r="F127" s="325">
        <v>1.0999999999999999E-2</v>
      </c>
      <c r="G127" s="321">
        <f t="shared" si="14"/>
        <v>0</v>
      </c>
      <c r="H127" s="326">
        <f t="shared" si="15"/>
        <v>0</v>
      </c>
      <c r="I127" s="327" t="s">
        <v>416</v>
      </c>
    </row>
    <row r="128" spans="1:9" s="356" customFormat="1" x14ac:dyDescent="0.3">
      <c r="A128" s="970" t="s">
        <v>417</v>
      </c>
      <c r="B128" s="985"/>
      <c r="C128" s="328">
        <f>'[1]сходові клітки'!C44</f>
        <v>0</v>
      </c>
      <c r="D128" s="324"/>
      <c r="E128" s="321">
        <v>5.0000000000000001E-3</v>
      </c>
      <c r="F128" s="325">
        <v>6.0000000000000001E-3</v>
      </c>
      <c r="G128" s="321">
        <f t="shared" si="14"/>
        <v>0</v>
      </c>
      <c r="H128" s="326">
        <f t="shared" si="15"/>
        <v>0</v>
      </c>
      <c r="I128" s="327" t="s">
        <v>418</v>
      </c>
    </row>
    <row r="129" spans="1:9" s="356" customFormat="1" x14ac:dyDescent="0.3">
      <c r="A129" s="970" t="s">
        <v>419</v>
      </c>
      <c r="B129" s="985"/>
      <c r="C129" s="328">
        <f>'[1]сходові клітки'!C45</f>
        <v>0</v>
      </c>
      <c r="D129" s="324"/>
      <c r="E129" s="321">
        <v>5.0000000000000001E-3</v>
      </c>
      <c r="F129" s="325">
        <v>7.9000000000000008E-3</v>
      </c>
      <c r="G129" s="321">
        <f t="shared" si="14"/>
        <v>0</v>
      </c>
      <c r="H129" s="326">
        <f t="shared" si="15"/>
        <v>0</v>
      </c>
      <c r="I129" s="327" t="s">
        <v>420</v>
      </c>
    </row>
    <row r="130" spans="1:9" s="356" customFormat="1" x14ac:dyDescent="0.3">
      <c r="A130" s="970" t="s">
        <v>421</v>
      </c>
      <c r="B130" s="985"/>
      <c r="C130" s="328">
        <f>'[1]сходові клітки'!C46</f>
        <v>0</v>
      </c>
      <c r="D130" s="324"/>
      <c r="E130" s="321">
        <v>5.0000000000000001E-3</v>
      </c>
      <c r="F130" s="325">
        <v>9.1000000000000004E-3</v>
      </c>
      <c r="G130" s="321">
        <f t="shared" si="14"/>
        <v>0</v>
      </c>
      <c r="H130" s="326">
        <f t="shared" si="15"/>
        <v>0</v>
      </c>
      <c r="I130" s="327" t="s">
        <v>422</v>
      </c>
    </row>
    <row r="131" spans="1:9" s="356" customFormat="1" x14ac:dyDescent="0.3">
      <c r="A131" s="987" t="s">
        <v>423</v>
      </c>
      <c r="B131" s="989"/>
      <c r="C131" s="990"/>
      <c r="D131" s="324"/>
      <c r="E131" s="321"/>
      <c r="F131" s="325"/>
      <c r="G131" s="321"/>
      <c r="H131" s="326"/>
      <c r="I131" s="327"/>
    </row>
    <row r="132" spans="1:9" s="356" customFormat="1" x14ac:dyDescent="0.3">
      <c r="A132" s="970" t="s">
        <v>409</v>
      </c>
      <c r="B132" s="985"/>
      <c r="C132" s="328">
        <f>'[1]сходові клітки'!C48</f>
        <v>0</v>
      </c>
      <c r="D132" s="324"/>
      <c r="E132" s="321">
        <v>5.0000000000000001E-3</v>
      </c>
      <c r="F132" s="325">
        <v>8.6999999999999994E-3</v>
      </c>
      <c r="G132" s="321">
        <f>C132/100*E132*D132</f>
        <v>0</v>
      </c>
      <c r="H132" s="326">
        <f>C132/100*F132*D132</f>
        <v>0</v>
      </c>
      <c r="I132" s="327" t="s">
        <v>424</v>
      </c>
    </row>
    <row r="133" spans="1:9" s="356" customFormat="1" x14ac:dyDescent="0.3">
      <c r="A133" s="970" t="s">
        <v>411</v>
      </c>
      <c r="B133" s="985"/>
      <c r="C133" s="328">
        <f>'[1]сходові клітки'!C49</f>
        <v>0</v>
      </c>
      <c r="D133" s="324"/>
      <c r="E133" s="321">
        <v>5.0000000000000001E-3</v>
      </c>
      <c r="F133" s="325">
        <v>0.01</v>
      </c>
      <c r="G133" s="321">
        <f t="shared" ref="G133:G138" si="16">C133/100*E133*D133</f>
        <v>0</v>
      </c>
      <c r="H133" s="326">
        <f t="shared" ref="H133:H138" si="17">C133/100*F133*D133</f>
        <v>0</v>
      </c>
      <c r="I133" s="327" t="s">
        <v>425</v>
      </c>
    </row>
    <row r="134" spans="1:9" s="356" customFormat="1" x14ac:dyDescent="0.3">
      <c r="A134" s="970" t="s">
        <v>413</v>
      </c>
      <c r="B134" s="985"/>
      <c r="C134" s="328">
        <f>'[1]сходові клітки'!C50</f>
        <v>0</v>
      </c>
      <c r="D134" s="324"/>
      <c r="E134" s="321">
        <v>5.0000000000000001E-3</v>
      </c>
      <c r="F134" s="325">
        <v>1.23E-2</v>
      </c>
      <c r="G134" s="321">
        <f t="shared" si="16"/>
        <v>0</v>
      </c>
      <c r="H134" s="326">
        <f t="shared" si="17"/>
        <v>0</v>
      </c>
      <c r="I134" s="327" t="s">
        <v>426</v>
      </c>
    </row>
    <row r="135" spans="1:9" s="356" customFormat="1" x14ac:dyDescent="0.3">
      <c r="A135" s="970" t="s">
        <v>415</v>
      </c>
      <c r="B135" s="985"/>
      <c r="C135" s="328">
        <f>'[1]сходові клітки'!C51</f>
        <v>0</v>
      </c>
      <c r="D135" s="324"/>
      <c r="E135" s="321">
        <v>5.0000000000000001E-3</v>
      </c>
      <c r="F135" s="325">
        <v>1.4500000000000001E-2</v>
      </c>
      <c r="G135" s="321">
        <f t="shared" si="16"/>
        <v>0</v>
      </c>
      <c r="H135" s="326">
        <f t="shared" si="17"/>
        <v>0</v>
      </c>
      <c r="I135" s="327" t="s">
        <v>427</v>
      </c>
    </row>
    <row r="136" spans="1:9" s="356" customFormat="1" x14ac:dyDescent="0.3">
      <c r="A136" s="970" t="s">
        <v>417</v>
      </c>
      <c r="B136" s="985"/>
      <c r="C136" s="328">
        <f>'[1]сходові клітки'!C52</f>
        <v>0</v>
      </c>
      <c r="D136" s="324"/>
      <c r="E136" s="321">
        <v>5.0000000000000001E-3</v>
      </c>
      <c r="F136" s="325">
        <v>8.2000000000000007E-3</v>
      </c>
      <c r="G136" s="321">
        <f t="shared" si="16"/>
        <v>0</v>
      </c>
      <c r="H136" s="326">
        <f t="shared" si="17"/>
        <v>0</v>
      </c>
      <c r="I136" s="327" t="s">
        <v>428</v>
      </c>
    </row>
    <row r="137" spans="1:9" s="356" customFormat="1" x14ac:dyDescent="0.3">
      <c r="A137" s="970" t="s">
        <v>419</v>
      </c>
      <c r="B137" s="985"/>
      <c r="C137" s="328">
        <f>'[1]сходові клітки'!C53</f>
        <v>0</v>
      </c>
      <c r="D137" s="324"/>
      <c r="E137" s="321">
        <v>5.0000000000000001E-3</v>
      </c>
      <c r="F137" s="325">
        <v>0.01</v>
      </c>
      <c r="G137" s="321">
        <f t="shared" si="16"/>
        <v>0</v>
      </c>
      <c r="H137" s="326">
        <f t="shared" si="17"/>
        <v>0</v>
      </c>
      <c r="I137" s="327" t="s">
        <v>429</v>
      </c>
    </row>
    <row r="138" spans="1:9" s="356" customFormat="1" x14ac:dyDescent="0.3">
      <c r="A138" s="970" t="s">
        <v>421</v>
      </c>
      <c r="B138" s="985"/>
      <c r="C138" s="328">
        <f>'[1]сходові клітки'!C54</f>
        <v>0</v>
      </c>
      <c r="D138" s="324"/>
      <c r="E138" s="321">
        <v>5.0000000000000001E-3</v>
      </c>
      <c r="F138" s="325">
        <v>1.17E-2</v>
      </c>
      <c r="G138" s="321">
        <f t="shared" si="16"/>
        <v>0</v>
      </c>
      <c r="H138" s="326">
        <f t="shared" si="17"/>
        <v>0</v>
      </c>
      <c r="I138" s="327" t="s">
        <v>430</v>
      </c>
    </row>
    <row r="139" spans="1:9" s="356" customFormat="1" x14ac:dyDescent="0.3">
      <c r="A139" s="987" t="s">
        <v>431</v>
      </c>
      <c r="B139" s="988"/>
      <c r="C139" s="329">
        <f>[1]Таблица_Характеристика!B43</f>
        <v>0</v>
      </c>
      <c r="D139" s="320"/>
      <c r="E139" s="310">
        <v>0</v>
      </c>
      <c r="F139" s="330">
        <v>0</v>
      </c>
      <c r="G139" s="310">
        <f>C139/100*E139*D139</f>
        <v>0</v>
      </c>
      <c r="H139" s="322">
        <f>C139/100*F139*D139</f>
        <v>0</v>
      </c>
      <c r="I139" s="331" t="s">
        <v>432</v>
      </c>
    </row>
    <row r="140" spans="1:9" s="356" customFormat="1" x14ac:dyDescent="0.3">
      <c r="A140" s="987" t="s">
        <v>433</v>
      </c>
      <c r="B140" s="988"/>
      <c r="C140" s="329"/>
      <c r="D140" s="320"/>
      <c r="E140" s="310"/>
      <c r="F140" s="330"/>
      <c r="G140" s="310"/>
      <c r="H140" s="322"/>
      <c r="I140" s="331"/>
    </row>
    <row r="141" spans="1:9" s="356" customFormat="1" x14ac:dyDescent="0.3">
      <c r="A141" s="970" t="s">
        <v>434</v>
      </c>
      <c r="B141" s="985"/>
      <c r="C141" s="329">
        <f>'[1]сходові клітки'!C57</f>
        <v>0</v>
      </c>
      <c r="D141" s="320"/>
      <c r="E141" s="310">
        <v>2.5000000000000001E-2</v>
      </c>
      <c r="F141" s="330">
        <v>3.7000000000000002E-3</v>
      </c>
      <c r="G141" s="310">
        <f>C141/100*E141*D141</f>
        <v>0</v>
      </c>
      <c r="H141" s="322">
        <f>C141/100*F141*D140:D141</f>
        <v>0</v>
      </c>
      <c r="I141" s="323" t="s">
        <v>435</v>
      </c>
    </row>
    <row r="142" spans="1:9" s="356" customFormat="1" x14ac:dyDescent="0.3">
      <c r="A142" s="970" t="s">
        <v>436</v>
      </c>
      <c r="B142" s="985"/>
      <c r="C142" s="329">
        <f>'[1]сходові клітки'!C58</f>
        <v>0</v>
      </c>
      <c r="D142" s="320"/>
      <c r="E142" s="310">
        <v>0.05</v>
      </c>
      <c r="F142" s="330">
        <v>5.5999999999999999E-3</v>
      </c>
      <c r="G142" s="310">
        <f>C142/100*E142*D142</f>
        <v>0</v>
      </c>
      <c r="H142" s="322">
        <f>C142/100*F142*D141:D142</f>
        <v>0</v>
      </c>
      <c r="I142" s="323" t="s">
        <v>437</v>
      </c>
    </row>
    <row r="143" spans="1:9" s="356" customFormat="1" x14ac:dyDescent="0.3">
      <c r="A143" s="970" t="s">
        <v>438</v>
      </c>
      <c r="B143" s="985"/>
      <c r="C143" s="329">
        <f>'[1]сходові клітки'!C59</f>
        <v>0</v>
      </c>
      <c r="D143" s="320"/>
      <c r="E143" s="310">
        <v>3.5000000000000003E-2</v>
      </c>
      <c r="F143" s="330">
        <v>5.0000000000000001E-3</v>
      </c>
      <c r="G143" s="310">
        <f>C143/100*E143*D143</f>
        <v>0</v>
      </c>
      <c r="H143" s="322">
        <f>C143/100*F143*D142:D143</f>
        <v>0</v>
      </c>
      <c r="I143" s="323" t="s">
        <v>439</v>
      </c>
    </row>
    <row r="144" spans="1:9" s="356" customFormat="1" x14ac:dyDescent="0.3">
      <c r="A144" s="970" t="s">
        <v>440</v>
      </c>
      <c r="B144" s="985"/>
      <c r="C144" s="329">
        <f>'[1]сходові клітки'!C60</f>
        <v>0</v>
      </c>
      <c r="D144" s="320"/>
      <c r="E144" s="310">
        <v>5.0000000000000001E-3</v>
      </c>
      <c r="F144" s="330">
        <v>5.0000000000000001E-3</v>
      </c>
      <c r="G144" s="310">
        <f>C144/100*E144*D144</f>
        <v>0</v>
      </c>
      <c r="H144" s="322">
        <f>C144/100*F144*D143:D144</f>
        <v>0</v>
      </c>
      <c r="I144" s="323" t="s">
        <v>441</v>
      </c>
    </row>
    <row r="145" spans="1:9" s="356" customFormat="1" x14ac:dyDescent="0.3">
      <c r="A145" s="970" t="s">
        <v>442</v>
      </c>
      <c r="B145" s="985"/>
      <c r="C145" s="329">
        <f>'[1]сходові клітки'!C61</f>
        <v>0</v>
      </c>
      <c r="D145" s="320"/>
      <c r="E145" s="310">
        <v>8.0000000000000002E-3</v>
      </c>
      <c r="F145" s="330">
        <v>4.1000000000000003E-3</v>
      </c>
      <c r="G145" s="310">
        <f>C145/100*E145*D145</f>
        <v>0</v>
      </c>
      <c r="H145" s="322">
        <f>C145/100*F145*D143:D145</f>
        <v>0</v>
      </c>
      <c r="I145" s="323" t="s">
        <v>443</v>
      </c>
    </row>
    <row r="146" spans="1:9" s="356" customFormat="1" x14ac:dyDescent="0.3">
      <c r="A146" s="970" t="s">
        <v>444</v>
      </c>
      <c r="B146" s="985"/>
      <c r="C146" s="329">
        <f>'[1]сходові клітки'!C62</f>
        <v>0</v>
      </c>
      <c r="D146" s="320"/>
      <c r="E146" s="332"/>
      <c r="F146" s="333">
        <v>7.7000000000000002E-3</v>
      </c>
      <c r="G146" s="332"/>
      <c r="H146" s="334"/>
      <c r="I146" s="335" t="s">
        <v>445</v>
      </c>
    </row>
    <row r="147" spans="1:9" s="356" customFormat="1" x14ac:dyDescent="0.3">
      <c r="A147" s="970" t="s">
        <v>446</v>
      </c>
      <c r="B147" s="985"/>
      <c r="C147" s="329">
        <f>'[1]сходові клітки'!C63</f>
        <v>0</v>
      </c>
      <c r="D147" s="336"/>
      <c r="E147" s="334">
        <v>0.05</v>
      </c>
      <c r="F147" s="333">
        <v>6.8999999999999999E-3</v>
      </c>
      <c r="G147" s="332">
        <f>C147/100*D147*E147</f>
        <v>0</v>
      </c>
      <c r="H147" s="334">
        <f>C147/100*F147*D147</f>
        <v>0</v>
      </c>
      <c r="I147" s="337" t="s">
        <v>447</v>
      </c>
    </row>
    <row r="148" spans="1:9" s="356" customFormat="1" x14ac:dyDescent="0.3">
      <c r="A148" s="970" t="s">
        <v>448</v>
      </c>
      <c r="B148" s="985"/>
      <c r="C148" s="329">
        <f>'[1]сходові клітки'!C64</f>
        <v>0</v>
      </c>
      <c r="D148" s="336"/>
      <c r="E148" s="334">
        <v>0.08</v>
      </c>
      <c r="F148" s="333">
        <v>3.2000000000000002E-3</v>
      </c>
      <c r="G148" s="332">
        <f>C148/100*D148*E148</f>
        <v>0</v>
      </c>
      <c r="H148" s="334">
        <f>C148/100*F148*D148</f>
        <v>0</v>
      </c>
      <c r="I148" s="337" t="s">
        <v>449</v>
      </c>
    </row>
    <row r="149" spans="1:9" s="356" customFormat="1" x14ac:dyDescent="0.3">
      <c r="A149" s="981" t="s">
        <v>450</v>
      </c>
      <c r="B149" s="986"/>
      <c r="C149" s="329">
        <f>'[1]сходові клітки'!C65</f>
        <v>0</v>
      </c>
      <c r="D149" s="336"/>
      <c r="E149" s="322">
        <v>6.0000000000000001E-3</v>
      </c>
      <c r="F149" s="330">
        <v>2.0000000000000001E-4</v>
      </c>
      <c r="G149" s="310">
        <f>C149/10*D149*E149</f>
        <v>0</v>
      </c>
      <c r="H149" s="322">
        <f>C149/10*F149*D149</f>
        <v>0</v>
      </c>
      <c r="I149" s="331" t="s">
        <v>451</v>
      </c>
    </row>
    <row r="150" spans="1:9" s="356" customFormat="1" x14ac:dyDescent="0.3">
      <c r="A150" s="979" t="s">
        <v>452</v>
      </c>
      <c r="B150" s="980"/>
      <c r="C150" s="329">
        <f>'[1]сходові клітки'!C66</f>
        <v>0</v>
      </c>
      <c r="D150" s="320"/>
      <c r="E150" s="310">
        <v>8.0000000000000002E-3</v>
      </c>
      <c r="F150" s="330">
        <v>0</v>
      </c>
      <c r="G150" s="310">
        <f t="shared" ref="G150:G159" si="18">C150/100*D150*E150</f>
        <v>0</v>
      </c>
      <c r="H150" s="322">
        <f t="shared" ref="H150:H159" si="19">C150/100*D150*F150</f>
        <v>0</v>
      </c>
      <c r="I150" s="331" t="str">
        <f>CONCATENATE("1-67-",[1]Расчет!$D$30+1)</f>
        <v>1-67-1</v>
      </c>
    </row>
    <row r="151" spans="1:9" s="356" customFormat="1" x14ac:dyDescent="0.3">
      <c r="A151" s="979" t="s">
        <v>453</v>
      </c>
      <c r="B151" s="980"/>
      <c r="C151" s="329">
        <f>'[1]сходові клітки'!C67</f>
        <v>0</v>
      </c>
      <c r="D151" s="320"/>
      <c r="E151" s="322">
        <v>8.0000000000000002E-3</v>
      </c>
      <c r="F151" s="330">
        <v>0</v>
      </c>
      <c r="G151" s="310">
        <f t="shared" si="18"/>
        <v>0</v>
      </c>
      <c r="H151" s="322">
        <f t="shared" si="19"/>
        <v>0</v>
      </c>
      <c r="I151" s="331" t="str">
        <f>CONCATENATE("1-68-",[1]Расчет!$D$30+1)</f>
        <v>1-68-1</v>
      </c>
    </row>
    <row r="152" spans="1:9" s="356" customFormat="1" x14ac:dyDescent="0.3">
      <c r="A152" s="981" t="s">
        <v>454</v>
      </c>
      <c r="B152" s="982"/>
      <c r="C152" s="329">
        <f>'[1]сходові клітки'!C68</f>
        <v>0</v>
      </c>
      <c r="D152" s="320"/>
      <c r="E152" s="322">
        <v>8.0000000000000002E-3</v>
      </c>
      <c r="F152" s="330">
        <v>0</v>
      </c>
      <c r="G152" s="310">
        <f t="shared" si="18"/>
        <v>0</v>
      </c>
      <c r="H152" s="322">
        <f t="shared" si="19"/>
        <v>0</v>
      </c>
      <c r="I152" s="331" t="str">
        <f>CONCATENATE("1-69-",IF([1]Расчет!$D$30&lt;=1,1,2))</f>
        <v>1-69-1</v>
      </c>
    </row>
    <row r="153" spans="1:9" s="356" customFormat="1" x14ac:dyDescent="0.3">
      <c r="A153" s="981" t="s">
        <v>455</v>
      </c>
      <c r="B153" s="982"/>
      <c r="C153" s="329">
        <f>'[1]сходові клітки'!C69</f>
        <v>0</v>
      </c>
      <c r="D153" s="320"/>
      <c r="E153" s="322">
        <v>0.06</v>
      </c>
      <c r="F153" s="330">
        <v>5.4999999999999997E-3</v>
      </c>
      <c r="G153" s="310">
        <f t="shared" si="18"/>
        <v>0</v>
      </c>
      <c r="H153" s="322">
        <f t="shared" si="19"/>
        <v>0</v>
      </c>
      <c r="I153" s="331" t="str">
        <f>CONCATENATE("1-71-",[1]Расчет!$D$30+1)</f>
        <v>1-71-1</v>
      </c>
    </row>
    <row r="154" spans="1:9" s="356" customFormat="1" x14ac:dyDescent="0.3">
      <c r="A154" s="983" t="s">
        <v>456</v>
      </c>
      <c r="B154" s="984"/>
      <c r="C154" s="329">
        <f>'[1]сходові клітки'!C70</f>
        <v>0</v>
      </c>
      <c r="D154" s="336"/>
      <c r="E154" s="334">
        <v>0.06</v>
      </c>
      <c r="F154" s="330">
        <v>5.1999999999999998E-3</v>
      </c>
      <c r="G154" s="332">
        <f t="shared" si="18"/>
        <v>0</v>
      </c>
      <c r="H154" s="334">
        <f t="shared" si="19"/>
        <v>0</v>
      </c>
      <c r="I154" s="337" t="str">
        <f>CONCATENATE("1-72-",[1]Расчет!$D$30+1)</f>
        <v>1-72-1</v>
      </c>
    </row>
    <row r="155" spans="1:9" s="356" customFormat="1" x14ac:dyDescent="0.3">
      <c r="A155" s="970" t="s">
        <v>457</v>
      </c>
      <c r="B155" s="985"/>
      <c r="C155" s="329">
        <f>'[1]сходові клітки'!C71</f>
        <v>0</v>
      </c>
      <c r="D155" s="336"/>
      <c r="E155" s="334">
        <v>0.05</v>
      </c>
      <c r="F155" s="333">
        <v>8.6999999999999994E-3</v>
      </c>
      <c r="G155" s="332">
        <f t="shared" si="18"/>
        <v>0</v>
      </c>
      <c r="H155" s="334">
        <f t="shared" si="19"/>
        <v>0</v>
      </c>
      <c r="I155" s="337" t="s">
        <v>458</v>
      </c>
    </row>
    <row r="156" spans="1:9" s="356" customFormat="1" x14ac:dyDescent="0.3">
      <c r="A156" s="970" t="s">
        <v>459</v>
      </c>
      <c r="B156" s="971"/>
      <c r="C156" s="329">
        <f>'[1]сходові клітки'!C72</f>
        <v>0</v>
      </c>
      <c r="D156" s="336"/>
      <c r="E156" s="334">
        <v>8.0000000000000002E-3</v>
      </c>
      <c r="F156" s="333">
        <v>0</v>
      </c>
      <c r="G156" s="332">
        <f t="shared" si="18"/>
        <v>0</v>
      </c>
      <c r="H156" s="334">
        <f t="shared" si="19"/>
        <v>0</v>
      </c>
      <c r="I156" s="337" t="s">
        <v>460</v>
      </c>
    </row>
    <row r="157" spans="1:9" s="356" customFormat="1" x14ac:dyDescent="0.3">
      <c r="A157" s="970" t="s">
        <v>461</v>
      </c>
      <c r="B157" s="971"/>
      <c r="C157" s="329">
        <f>'[1]сходові клітки'!C73</f>
        <v>0</v>
      </c>
      <c r="D157" s="336"/>
      <c r="E157" s="334">
        <v>0.06</v>
      </c>
      <c r="F157" s="333">
        <v>0</v>
      </c>
      <c r="G157" s="332">
        <f t="shared" si="18"/>
        <v>0</v>
      </c>
      <c r="H157" s="334">
        <f t="shared" si="19"/>
        <v>0</v>
      </c>
      <c r="I157" s="337" t="s">
        <v>462</v>
      </c>
    </row>
    <row r="158" spans="1:9" s="356" customFormat="1" x14ac:dyDescent="0.3">
      <c r="A158" s="970" t="s">
        <v>463</v>
      </c>
      <c r="B158" s="971"/>
      <c r="C158" s="329">
        <f>'[1]сходові клітки'!C74</f>
        <v>0</v>
      </c>
      <c r="D158" s="336"/>
      <c r="E158" s="334">
        <v>2.5000000000000001E-2</v>
      </c>
      <c r="F158" s="333">
        <v>5.0000000000000001E-3</v>
      </c>
      <c r="G158" s="332">
        <f t="shared" si="18"/>
        <v>0</v>
      </c>
      <c r="H158" s="334">
        <f t="shared" si="19"/>
        <v>0</v>
      </c>
      <c r="I158" s="337" t="s">
        <v>464</v>
      </c>
    </row>
    <row r="159" spans="1:9" s="356" customFormat="1" x14ac:dyDescent="0.3">
      <c r="A159" s="970" t="s">
        <v>465</v>
      </c>
      <c r="B159" s="971"/>
      <c r="C159" s="329">
        <f>'[1]сходові клітки'!C75</f>
        <v>0</v>
      </c>
      <c r="D159" s="336"/>
      <c r="E159" s="334">
        <v>0.06</v>
      </c>
      <c r="F159" s="333">
        <v>6.8999999999999999E-3</v>
      </c>
      <c r="G159" s="332">
        <f t="shared" si="18"/>
        <v>0</v>
      </c>
      <c r="H159" s="334">
        <f t="shared" si="19"/>
        <v>0</v>
      </c>
      <c r="I159" s="337" t="s">
        <v>466</v>
      </c>
    </row>
    <row r="160" spans="1:9" s="356" customFormat="1" x14ac:dyDescent="0.3">
      <c r="A160" s="972" t="s">
        <v>467</v>
      </c>
      <c r="B160" s="338" t="s">
        <v>111</v>
      </c>
      <c r="C160" s="338"/>
      <c r="D160" s="338"/>
      <c r="E160" s="339"/>
      <c r="F160" s="339"/>
      <c r="G160" s="339">
        <f>SUM(G121:G159)</f>
        <v>0</v>
      </c>
      <c r="H160" s="339">
        <f>SUM(H121:H159)</f>
        <v>0</v>
      </c>
      <c r="I160" s="975">
        <f>G162+H162</f>
        <v>0</v>
      </c>
    </row>
    <row r="161" spans="1:9" s="356" customFormat="1" x14ac:dyDescent="0.3">
      <c r="A161" s="973"/>
      <c r="B161" s="338" t="s">
        <v>331</v>
      </c>
      <c r="C161" s="338"/>
      <c r="D161" s="338"/>
      <c r="E161" s="338"/>
      <c r="F161" s="338"/>
      <c r="G161" s="339">
        <f>[1]Расчет!C26</f>
        <v>0</v>
      </c>
      <c r="H161" s="340">
        <v>6</v>
      </c>
      <c r="I161" s="969"/>
    </row>
    <row r="162" spans="1:9" s="356" customFormat="1" ht="15" thickBot="1" x14ac:dyDescent="0.35">
      <c r="A162" s="974"/>
      <c r="B162" s="341" t="s">
        <v>387</v>
      </c>
      <c r="C162" s="341"/>
      <c r="D162" s="341"/>
      <c r="E162" s="341"/>
      <c r="F162" s="341"/>
      <c r="G162" s="342">
        <f>G160*G161</f>
        <v>0</v>
      </c>
      <c r="H162" s="342">
        <f>H160*H161</f>
        <v>0</v>
      </c>
      <c r="I162" s="976"/>
    </row>
    <row r="163" spans="1:9" s="356" customFormat="1" x14ac:dyDescent="0.3">
      <c r="A163" s="977" t="s">
        <v>468</v>
      </c>
      <c r="B163" s="978"/>
      <c r="C163" s="978"/>
      <c r="D163" s="978"/>
      <c r="E163" s="978"/>
      <c r="F163" s="978"/>
      <c r="G163" s="978"/>
      <c r="H163" s="978"/>
      <c r="I163" s="978"/>
    </row>
    <row r="164" spans="1:9" s="356" customFormat="1" x14ac:dyDescent="0.3">
      <c r="A164" s="360"/>
      <c r="B164" s="343"/>
      <c r="C164" s="343"/>
      <c r="D164" s="343"/>
      <c r="E164" s="343"/>
      <c r="F164" s="343"/>
      <c r="G164" s="343"/>
      <c r="H164" s="343"/>
      <c r="I164" s="343"/>
    </row>
    <row r="165" spans="1:9" s="356" customFormat="1" x14ac:dyDescent="0.3">
      <c r="A165" s="949" t="s">
        <v>469</v>
      </c>
      <c r="B165" s="950"/>
      <c r="C165" s="950"/>
      <c r="D165" s="950"/>
      <c r="E165" s="950"/>
      <c r="F165" s="950"/>
      <c r="G165" s="950"/>
      <c r="H165" s="950"/>
      <c r="I165" s="950"/>
    </row>
    <row r="166" spans="1:9" s="356" customFormat="1" ht="15" thickBot="1" x14ac:dyDescent="0.35">
      <c r="A166" s="360"/>
      <c r="B166" s="343"/>
      <c r="C166" s="343"/>
      <c r="D166" s="343"/>
      <c r="E166" s="343"/>
      <c r="F166" s="343"/>
      <c r="G166" s="343"/>
      <c r="H166" s="343"/>
      <c r="I166" s="343"/>
    </row>
    <row r="167" spans="1:9" s="356" customFormat="1" x14ac:dyDescent="0.3">
      <c r="A167" s="951" t="s">
        <v>470</v>
      </c>
      <c r="B167" s="952"/>
      <c r="C167" s="955" t="s">
        <v>232</v>
      </c>
      <c r="D167" s="956" t="s">
        <v>233</v>
      </c>
      <c r="E167" s="966" t="s">
        <v>383</v>
      </c>
      <c r="F167" s="967"/>
      <c r="G167" s="968" t="s">
        <v>384</v>
      </c>
      <c r="H167" s="968"/>
      <c r="I167" s="959" t="s">
        <v>237</v>
      </c>
    </row>
    <row r="168" spans="1:9" s="356" customFormat="1" x14ac:dyDescent="0.3">
      <c r="A168" s="963"/>
      <c r="B168" s="964"/>
      <c r="C168" s="965"/>
      <c r="D168" s="965"/>
      <c r="E168" s="344" t="s">
        <v>385</v>
      </c>
      <c r="F168" s="345" t="s">
        <v>471</v>
      </c>
      <c r="G168" s="344" t="s">
        <v>385</v>
      </c>
      <c r="H168" s="346" t="s">
        <v>471</v>
      </c>
      <c r="I168" s="969"/>
    </row>
    <row r="169" spans="1:9" s="356" customFormat="1" x14ac:dyDescent="0.3">
      <c r="A169" s="338" t="s">
        <v>472</v>
      </c>
      <c r="B169" s="347"/>
      <c r="C169" s="347"/>
      <c r="D169" s="347"/>
      <c r="E169" s="344"/>
      <c r="F169" s="345"/>
      <c r="G169" s="344"/>
      <c r="H169" s="346"/>
      <c r="I169" s="348"/>
    </row>
    <row r="170" spans="1:9" s="356" customFormat="1" x14ac:dyDescent="0.3">
      <c r="A170" s="961">
        <f>[1]підвали!A33</f>
        <v>0</v>
      </c>
      <c r="B170" s="962"/>
      <c r="C170" s="349">
        <f>[1]підвали!C33</f>
        <v>0</v>
      </c>
      <c r="D170" s="350">
        <f>[1]підвали!D33</f>
        <v>970</v>
      </c>
      <c r="E170" s="351">
        <v>5.0000000000000001E-3</v>
      </c>
      <c r="F170" s="352">
        <v>1.2999999999999999E-3</v>
      </c>
      <c r="G170" s="353">
        <f>C170/100*E170*D170</f>
        <v>0</v>
      </c>
      <c r="H170" s="353">
        <f>C170/100*F170*D170</f>
        <v>0</v>
      </c>
      <c r="I170" s="354" t="s">
        <v>473</v>
      </c>
    </row>
    <row r="171" spans="1:9" s="356" customFormat="1" x14ac:dyDescent="0.3">
      <c r="A171" s="961">
        <f>[1]підвали!A34</f>
        <v>0</v>
      </c>
      <c r="B171" s="962"/>
      <c r="C171" s="349">
        <f>[1]підвали!C34</f>
        <v>0</v>
      </c>
      <c r="D171" s="350">
        <f>[1]підвали!D34</f>
        <v>0</v>
      </c>
      <c r="E171" s="351">
        <v>5.0000000000000001E-3</v>
      </c>
      <c r="F171" s="352">
        <v>1.6000000000000001E-3</v>
      </c>
      <c r="G171" s="353">
        <f>C171/100*E171*D171</f>
        <v>0</v>
      </c>
      <c r="H171" s="353">
        <f>C171/100*F171*D171</f>
        <v>0</v>
      </c>
      <c r="I171" s="354" t="s">
        <v>474</v>
      </c>
    </row>
    <row r="172" spans="1:9" s="356" customFormat="1" x14ac:dyDescent="0.3">
      <c r="A172" s="961">
        <f>[1]підвали!A35</f>
        <v>0</v>
      </c>
      <c r="B172" s="962"/>
      <c r="C172" s="349">
        <f>[1]підвали!C35</f>
        <v>0</v>
      </c>
      <c r="D172" s="350">
        <f>[1]підвали!D35</f>
        <v>0</v>
      </c>
      <c r="E172" s="351">
        <v>5.0000000000000001E-3</v>
      </c>
      <c r="F172" s="352">
        <v>1.9E-3</v>
      </c>
      <c r="G172" s="353">
        <f>C172/100*E172*D172</f>
        <v>0</v>
      </c>
      <c r="H172" s="353">
        <f>C172/100*F172*D172</f>
        <v>0</v>
      </c>
      <c r="I172" s="354" t="s">
        <v>475</v>
      </c>
    </row>
    <row r="173" spans="1:9" s="356" customFormat="1" x14ac:dyDescent="0.3">
      <c r="A173" s="961">
        <f>[1]підвали!A36</f>
        <v>0</v>
      </c>
      <c r="B173" s="962"/>
      <c r="C173" s="349">
        <f>[1]підвали!C36</f>
        <v>0</v>
      </c>
      <c r="D173" s="350">
        <f>[1]підвали!D36</f>
        <v>0</v>
      </c>
      <c r="E173" s="351">
        <v>5.0000000000000001E-3</v>
      </c>
      <c r="F173" s="352">
        <v>2.2000000000000001E-3</v>
      </c>
      <c r="G173" s="353">
        <f>C173/100*E173*D173</f>
        <v>0</v>
      </c>
      <c r="H173" s="353">
        <f>C173/100*F173*D173</f>
        <v>0</v>
      </c>
      <c r="I173" s="354" t="s">
        <v>476</v>
      </c>
    </row>
    <row r="174" spans="1:9" s="356" customFormat="1" x14ac:dyDescent="0.3">
      <c r="A174" s="936"/>
      <c r="B174" s="933"/>
      <c r="C174" s="920" t="s">
        <v>111</v>
      </c>
      <c r="D174" s="921"/>
      <c r="E174" s="344"/>
      <c r="F174" s="344"/>
      <c r="G174" s="311">
        <f>SUM(G170:G173)</f>
        <v>0</v>
      </c>
      <c r="H174" s="311">
        <f>SUM(H170:H173)</f>
        <v>0</v>
      </c>
      <c r="I174" s="946">
        <f>G176+H176</f>
        <v>0</v>
      </c>
    </row>
    <row r="175" spans="1:9" s="356" customFormat="1" x14ac:dyDescent="0.3">
      <c r="A175" s="937"/>
      <c r="B175" s="933"/>
      <c r="C175" s="920" t="s">
        <v>331</v>
      </c>
      <c r="D175" s="921"/>
      <c r="E175" s="344"/>
      <c r="F175" s="344"/>
      <c r="G175" s="311">
        <f>[1]Расчет!C26*0</f>
        <v>0</v>
      </c>
      <c r="H175" s="311">
        <v>0</v>
      </c>
      <c r="I175" s="947"/>
    </row>
    <row r="176" spans="1:9" s="356" customFormat="1" ht="15" thickBot="1" x14ac:dyDescent="0.35">
      <c r="A176" s="938"/>
      <c r="B176" s="939"/>
      <c r="C176" s="926" t="s">
        <v>387</v>
      </c>
      <c r="D176" s="927"/>
      <c r="E176" s="312"/>
      <c r="F176" s="312"/>
      <c r="G176" s="355">
        <f>G174*G175</f>
        <v>0</v>
      </c>
      <c r="H176" s="355">
        <f>H174*H175</f>
        <v>0</v>
      </c>
      <c r="I176" s="948"/>
    </row>
    <row r="177" spans="1:9" s="356" customFormat="1" x14ac:dyDescent="0.3">
      <c r="A177" s="361"/>
      <c r="B177" s="361"/>
      <c r="C177" s="362"/>
      <c r="D177" s="363"/>
      <c r="E177" s="343"/>
      <c r="F177" s="343"/>
      <c r="G177" s="358"/>
      <c r="H177" s="358"/>
      <c r="I177" s="364"/>
    </row>
    <row r="178" spans="1:9" s="356" customFormat="1" ht="15" thickBot="1" x14ac:dyDescent="0.35">
      <c r="A178" s="949" t="s">
        <v>477</v>
      </c>
      <c r="B178" s="950"/>
      <c r="C178" s="950"/>
      <c r="D178" s="950"/>
      <c r="E178" s="950"/>
      <c r="F178" s="950"/>
      <c r="G178" s="950"/>
      <c r="H178" s="950"/>
      <c r="I178" s="950"/>
    </row>
    <row r="179" spans="1:9" s="356" customFormat="1" x14ac:dyDescent="0.3">
      <c r="A179" s="951" t="s">
        <v>231</v>
      </c>
      <c r="B179" s="952"/>
      <c r="C179" s="955" t="s">
        <v>478</v>
      </c>
      <c r="D179" s="956" t="s">
        <v>382</v>
      </c>
      <c r="E179" s="957" t="s">
        <v>383</v>
      </c>
      <c r="F179" s="957"/>
      <c r="G179" s="958" t="s">
        <v>384</v>
      </c>
      <c r="H179" s="958"/>
      <c r="I179" s="959" t="s">
        <v>237</v>
      </c>
    </row>
    <row r="180" spans="1:9" s="356" customFormat="1" ht="15" thickBot="1" x14ac:dyDescent="0.35">
      <c r="A180" s="953"/>
      <c r="B180" s="954"/>
      <c r="C180" s="927"/>
      <c r="D180" s="927"/>
      <c r="E180" s="928" t="s">
        <v>479</v>
      </c>
      <c r="F180" s="929"/>
      <c r="G180" s="928" t="s">
        <v>479</v>
      </c>
      <c r="H180" s="929"/>
      <c r="I180" s="960"/>
    </row>
    <row r="181" spans="1:9" s="356" customFormat="1" x14ac:dyDescent="0.3">
      <c r="A181" s="942" t="s">
        <v>241</v>
      </c>
      <c r="B181" s="943"/>
      <c r="C181" s="328">
        <f>[1]Снег!C56</f>
        <v>0</v>
      </c>
      <c r="D181" s="324">
        <f>[1]Снег!D56</f>
        <v>0</v>
      </c>
      <c r="E181" s="944">
        <v>1.4999999999999999E-2</v>
      </c>
      <c r="F181" s="945"/>
      <c r="G181" s="944">
        <f xml:space="preserve"> C181/100*D181*E181</f>
        <v>0</v>
      </c>
      <c r="H181" s="945"/>
      <c r="I181" s="365" t="s">
        <v>480</v>
      </c>
    </row>
    <row r="182" spans="1:9" s="356" customFormat="1" x14ac:dyDescent="0.3">
      <c r="A182" s="932" t="s">
        <v>242</v>
      </c>
      <c r="B182" s="933"/>
      <c r="C182" s="329">
        <f>[1]Снег!C57</f>
        <v>0</v>
      </c>
      <c r="D182" s="320">
        <f>[1]Снег!D57</f>
        <v>60</v>
      </c>
      <c r="E182" s="934">
        <v>1.7000000000000001E-2</v>
      </c>
      <c r="F182" s="935"/>
      <c r="G182" s="934">
        <f xml:space="preserve"> C182/100*D182*E182</f>
        <v>0</v>
      </c>
      <c r="H182" s="935"/>
      <c r="I182" s="366" t="s">
        <v>481</v>
      </c>
    </row>
    <row r="183" spans="1:9" s="356" customFormat="1" x14ac:dyDescent="0.3">
      <c r="A183" s="932" t="s">
        <v>243</v>
      </c>
      <c r="B183" s="933"/>
      <c r="C183" s="329">
        <v>0</v>
      </c>
      <c r="D183" s="320">
        <f>[1]Снег!D58</f>
        <v>0</v>
      </c>
      <c r="E183" s="934">
        <v>0.02</v>
      </c>
      <c r="F183" s="935"/>
      <c r="G183" s="934">
        <f xml:space="preserve"> C183/100*D183*E183</f>
        <v>0</v>
      </c>
      <c r="H183" s="935"/>
      <c r="I183" s="366" t="s">
        <v>482</v>
      </c>
    </row>
    <row r="184" spans="1:9" s="356" customFormat="1" x14ac:dyDescent="0.3">
      <c r="A184" s="936"/>
      <c r="B184" s="933"/>
      <c r="C184" s="920" t="s">
        <v>111</v>
      </c>
      <c r="D184" s="921"/>
      <c r="E184" s="922"/>
      <c r="F184" s="923"/>
      <c r="G184" s="940">
        <f>SUM(G181:G183)</f>
        <v>0</v>
      </c>
      <c r="H184" s="941"/>
      <c r="I184" s="917">
        <f>G186</f>
        <v>0</v>
      </c>
    </row>
    <row r="185" spans="1:9" s="356" customFormat="1" x14ac:dyDescent="0.3">
      <c r="A185" s="937"/>
      <c r="B185" s="933"/>
      <c r="C185" s="920" t="s">
        <v>331</v>
      </c>
      <c r="D185" s="921"/>
      <c r="E185" s="922"/>
      <c r="F185" s="923"/>
      <c r="G185" s="924">
        <v>197.79</v>
      </c>
      <c r="H185" s="925"/>
      <c r="I185" s="918"/>
    </row>
    <row r="186" spans="1:9" s="356" customFormat="1" ht="15" thickBot="1" x14ac:dyDescent="0.35">
      <c r="A186" s="938"/>
      <c r="B186" s="939"/>
      <c r="C186" s="926" t="s">
        <v>387</v>
      </c>
      <c r="D186" s="927"/>
      <c r="E186" s="928"/>
      <c r="F186" s="929"/>
      <c r="G186" s="930">
        <f>G184*G185</f>
        <v>0</v>
      </c>
      <c r="H186" s="931"/>
      <c r="I186" s="919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4" zoomScaleNormal="100" workbookViewId="0">
      <selection activeCell="E9" sqref="E9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30" t="str">
        <f>[1]Таблица_Характеристика!C3</f>
        <v>КП "Житлово-експлуатаційна контора "</v>
      </c>
      <c r="B1" s="1130"/>
      <c r="C1" s="1130"/>
      <c r="D1" s="1130"/>
      <c r="E1" s="1130"/>
      <c r="F1" s="1130"/>
      <c r="G1" s="1130"/>
      <c r="H1" s="1130"/>
      <c r="I1" s="37"/>
      <c r="J1" s="37"/>
      <c r="K1" s="37"/>
      <c r="L1" s="37"/>
    </row>
    <row r="2" spans="1:12" x14ac:dyDescent="0.3">
      <c r="A2" s="167"/>
      <c r="B2" s="167"/>
      <c r="C2" s="167"/>
      <c r="D2" s="167"/>
      <c r="E2" s="167"/>
      <c r="F2" s="167"/>
      <c r="G2" s="167"/>
      <c r="H2" s="167"/>
      <c r="I2" s="167"/>
      <c r="J2" s="168" t="s">
        <v>187</v>
      </c>
      <c r="K2" s="37"/>
      <c r="L2" s="37"/>
    </row>
    <row r="3" spans="1:12" x14ac:dyDescent="0.3">
      <c r="A3" s="169"/>
      <c r="B3" s="37"/>
      <c r="C3" s="37"/>
      <c r="D3" s="37"/>
      <c r="E3" s="169"/>
      <c r="F3" s="169"/>
      <c r="G3" s="169"/>
      <c r="H3" s="169"/>
      <c r="I3" s="169"/>
      <c r="J3" s="170" t="s">
        <v>188</v>
      </c>
      <c r="K3" s="169"/>
      <c r="L3" s="37"/>
    </row>
    <row r="4" spans="1:12" ht="15.6" x14ac:dyDescent="0.3">
      <c r="A4" s="171" t="s">
        <v>189</v>
      </c>
      <c r="B4" s="37"/>
      <c r="C4" s="37"/>
      <c r="D4" s="37"/>
      <c r="E4" s="171"/>
      <c r="F4" s="171"/>
      <c r="G4" s="169"/>
      <c r="H4" s="169"/>
      <c r="I4" s="169"/>
      <c r="J4" s="169"/>
      <c r="K4" s="169"/>
      <c r="L4" s="37"/>
    </row>
    <row r="5" spans="1:12" ht="25.2" customHeight="1" x14ac:dyDescent="0.3">
      <c r="A5" s="1131" t="s">
        <v>213</v>
      </c>
      <c r="B5" s="1132"/>
      <c r="C5" s="1132"/>
      <c r="D5" s="1132"/>
      <c r="E5" s="1132"/>
      <c r="F5" s="1132"/>
      <c r="G5" s="1132"/>
      <c r="H5" s="1132"/>
      <c r="I5" s="1132"/>
      <c r="J5" s="1132"/>
      <c r="K5" s="1132"/>
      <c r="L5" s="1132"/>
    </row>
    <row r="6" spans="1:12" ht="157.19999999999999" customHeight="1" x14ac:dyDescent="0.3">
      <c r="A6" s="1133" t="s">
        <v>190</v>
      </c>
      <c r="B6" s="1134"/>
      <c r="C6" s="1134"/>
      <c r="D6" s="1135"/>
      <c r="E6" s="172" t="s">
        <v>191</v>
      </c>
      <c r="F6" s="1136" t="s">
        <v>288</v>
      </c>
      <c r="G6" s="1137"/>
      <c r="H6" s="173" t="s">
        <v>192</v>
      </c>
      <c r="I6" s="173" t="s">
        <v>193</v>
      </c>
      <c r="J6" s="172" t="s">
        <v>194</v>
      </c>
      <c r="K6" s="172" t="s">
        <v>195</v>
      </c>
      <c r="L6" s="174" t="s">
        <v>196</v>
      </c>
    </row>
    <row r="7" spans="1:12" x14ac:dyDescent="0.3">
      <c r="A7" s="1122" t="s">
        <v>197</v>
      </c>
      <c r="B7" s="1123"/>
      <c r="C7" s="1123"/>
      <c r="D7" s="1124"/>
      <c r="E7" s="175">
        <v>1</v>
      </c>
      <c r="F7" s="1125">
        <f>$D$26</f>
        <v>2032</v>
      </c>
      <c r="G7" s="1126"/>
      <c r="H7" s="176">
        <v>1.6</v>
      </c>
      <c r="I7" s="176">
        <v>1.26</v>
      </c>
      <c r="J7" s="176">
        <f>IF(E7=1,A17,IF(E7=2,B17,IF(E7=3,C17,IF(E7=4,D17,IF(E7=5,E17,F17)))))</f>
        <v>1</v>
      </c>
      <c r="K7" s="176">
        <v>4173</v>
      </c>
      <c r="L7" s="177" t="s">
        <v>198</v>
      </c>
    </row>
    <row r="8" spans="1:12" x14ac:dyDescent="0.3">
      <c r="A8" s="1122" t="s">
        <v>199</v>
      </c>
      <c r="B8" s="1123"/>
      <c r="C8" s="1123"/>
      <c r="D8" s="1124"/>
      <c r="E8" s="175">
        <v>3</v>
      </c>
      <c r="F8" s="1125">
        <f t="shared" ref="F8:F12" si="0">$D$26</f>
        <v>2032</v>
      </c>
      <c r="G8" s="1126"/>
      <c r="H8" s="176">
        <v>1.6</v>
      </c>
      <c r="I8" s="176">
        <v>1.46</v>
      </c>
      <c r="J8" s="176">
        <v>1.2</v>
      </c>
      <c r="K8" s="176">
        <f>ROUND(F8*H8*I8*J8,0)</f>
        <v>5696</v>
      </c>
      <c r="L8" s="177" t="s">
        <v>198</v>
      </c>
    </row>
    <row r="9" spans="1:12" x14ac:dyDescent="0.3">
      <c r="A9" s="1122" t="s">
        <v>200</v>
      </c>
      <c r="B9" s="1123"/>
      <c r="C9" s="1123"/>
      <c r="D9" s="1124"/>
      <c r="E9" s="175">
        <v>5</v>
      </c>
      <c r="F9" s="1125">
        <f t="shared" si="0"/>
        <v>2032</v>
      </c>
      <c r="G9" s="1126"/>
      <c r="H9" s="176">
        <v>1.6</v>
      </c>
      <c r="I9" s="176">
        <v>1.46</v>
      </c>
      <c r="J9" s="176">
        <v>1.54</v>
      </c>
      <c r="K9" s="176">
        <f t="shared" ref="K9:K12" si="1">ROUND(F9*H9*I9*J9,0)</f>
        <v>7310</v>
      </c>
      <c r="L9" s="177" t="s">
        <v>198</v>
      </c>
    </row>
    <row r="10" spans="1:12" x14ac:dyDescent="0.3">
      <c r="A10" s="1122" t="s">
        <v>201</v>
      </c>
      <c r="B10" s="1123"/>
      <c r="C10" s="1123"/>
      <c r="D10" s="1124"/>
      <c r="E10" s="175">
        <v>5</v>
      </c>
      <c r="F10" s="1125">
        <f t="shared" si="0"/>
        <v>2032</v>
      </c>
      <c r="G10" s="1126"/>
      <c r="H10" s="176">
        <v>1.6</v>
      </c>
      <c r="I10" s="176">
        <v>1.46</v>
      </c>
      <c r="J10" s="176">
        <v>1.54</v>
      </c>
      <c r="K10" s="176">
        <f t="shared" si="1"/>
        <v>7310</v>
      </c>
      <c r="L10" s="177" t="s">
        <v>198</v>
      </c>
    </row>
    <row r="11" spans="1:12" x14ac:dyDescent="0.3">
      <c r="A11" s="1122" t="s">
        <v>202</v>
      </c>
      <c r="B11" s="1123"/>
      <c r="C11" s="1123"/>
      <c r="D11" s="1124"/>
      <c r="E11" s="175">
        <v>5</v>
      </c>
      <c r="F11" s="1125">
        <f t="shared" si="0"/>
        <v>2032</v>
      </c>
      <c r="G11" s="1126"/>
      <c r="H11" s="176">
        <v>1.6</v>
      </c>
      <c r="I11" s="176">
        <v>1.46</v>
      </c>
      <c r="J11" s="176">
        <v>1.54</v>
      </c>
      <c r="K11" s="176">
        <f t="shared" si="1"/>
        <v>7310</v>
      </c>
      <c r="L11" s="177" t="s">
        <v>198</v>
      </c>
    </row>
    <row r="12" spans="1:12" x14ac:dyDescent="0.3">
      <c r="A12" s="1122" t="s">
        <v>199</v>
      </c>
      <c r="B12" s="1123"/>
      <c r="C12" s="1123"/>
      <c r="D12" s="1124"/>
      <c r="E12" s="175">
        <v>5</v>
      </c>
      <c r="F12" s="1125">
        <f t="shared" si="0"/>
        <v>2032</v>
      </c>
      <c r="G12" s="1126"/>
      <c r="H12" s="176">
        <v>1.6</v>
      </c>
      <c r="I12" s="176">
        <v>1.46</v>
      </c>
      <c r="J12" s="176">
        <v>1.54</v>
      </c>
      <c r="K12" s="176">
        <f t="shared" si="1"/>
        <v>7310</v>
      </c>
      <c r="L12" s="177" t="s">
        <v>198</v>
      </c>
    </row>
    <row r="13" spans="1:12" hidden="1" x14ac:dyDescent="0.3">
      <c r="A13" s="1127" t="s">
        <v>203</v>
      </c>
      <c r="B13" s="770"/>
      <c r="C13" s="770"/>
      <c r="D13" s="770"/>
      <c r="E13" s="175"/>
      <c r="F13" s="1128"/>
      <c r="G13" s="1129"/>
      <c r="H13" s="176"/>
      <c r="I13" s="176"/>
      <c r="J13" s="176">
        <v>1</v>
      </c>
      <c r="K13" s="176">
        <f>F13*H13*I13*J13</f>
        <v>0</v>
      </c>
      <c r="L13" s="177" t="s">
        <v>204</v>
      </c>
    </row>
    <row r="14" spans="1:12" x14ac:dyDescent="0.3">
      <c r="A14" s="178" t="s">
        <v>205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8" t="s">
        <v>206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9" t="s">
        <v>207</v>
      </c>
      <c r="B16" s="179" t="s">
        <v>208</v>
      </c>
      <c r="C16" s="179" t="s">
        <v>209</v>
      </c>
      <c r="D16" s="179" t="s">
        <v>210</v>
      </c>
      <c r="E16" s="179" t="s">
        <v>211</v>
      </c>
      <c r="F16" s="179" t="s">
        <v>212</v>
      </c>
      <c r="G16" s="37"/>
      <c r="H16" s="37"/>
      <c r="I16" s="37"/>
      <c r="J16" s="37"/>
      <c r="K16" s="37"/>
      <c r="L16" s="37"/>
    </row>
    <row r="17" spans="1:12" x14ac:dyDescent="0.3">
      <c r="A17" s="180">
        <v>1</v>
      </c>
      <c r="B17" s="180">
        <v>1.08</v>
      </c>
      <c r="C17" s="180">
        <v>1.2</v>
      </c>
      <c r="D17" s="180">
        <v>1.35</v>
      </c>
      <c r="E17" s="180">
        <v>1.54</v>
      </c>
      <c r="F17" s="180">
        <v>1.8</v>
      </c>
      <c r="G17" s="37"/>
      <c r="H17" s="37"/>
      <c r="I17" s="37"/>
      <c r="J17" s="37"/>
      <c r="K17" s="37"/>
      <c r="L17" s="37"/>
    </row>
    <row r="18" spans="1:12" x14ac:dyDescent="0.3">
      <c r="A18" s="244" t="s">
        <v>830</v>
      </c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</row>
    <row r="19" spans="1:12" x14ac:dyDescent="0.3">
      <c r="A19" s="244" t="s">
        <v>289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</row>
    <row r="20" spans="1:12" x14ac:dyDescent="0.3">
      <c r="A20" s="244" t="s">
        <v>290</v>
      </c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</row>
    <row r="21" spans="1:12" x14ac:dyDescent="0.3">
      <c r="A21" s="245" t="s">
        <v>291</v>
      </c>
      <c r="B21" s="245" t="s">
        <v>292</v>
      </c>
      <c r="C21" s="245" t="s">
        <v>293</v>
      </c>
      <c r="D21" s="245" t="s">
        <v>294</v>
      </c>
      <c r="E21" s="244"/>
      <c r="F21" s="244"/>
      <c r="G21" s="244"/>
      <c r="H21" s="244"/>
      <c r="I21" s="244"/>
      <c r="J21" s="244"/>
      <c r="K21" s="244"/>
      <c r="L21" s="244"/>
    </row>
    <row r="22" spans="1:12" x14ac:dyDescent="0.3">
      <c r="A22" s="246">
        <v>43586</v>
      </c>
      <c r="B22" s="247">
        <v>1921</v>
      </c>
      <c r="C22" s="248">
        <v>2</v>
      </c>
      <c r="D22" s="247">
        <f>B22*C22</f>
        <v>3842</v>
      </c>
      <c r="E22" s="244"/>
      <c r="F22" s="244"/>
      <c r="G22" s="244"/>
      <c r="H22" s="244"/>
      <c r="I22" s="244"/>
      <c r="J22" s="244"/>
      <c r="K22" s="244"/>
      <c r="L22" s="244"/>
    </row>
    <row r="23" spans="1:12" x14ac:dyDescent="0.3">
      <c r="A23" s="246">
        <v>43647</v>
      </c>
      <c r="B23" s="247">
        <v>2007</v>
      </c>
      <c r="C23" s="248">
        <v>5</v>
      </c>
      <c r="D23" s="247">
        <f t="shared" ref="D23:D24" si="2">B23*C23</f>
        <v>10035</v>
      </c>
      <c r="E23" s="244"/>
      <c r="F23" s="244"/>
      <c r="G23" s="244"/>
      <c r="H23" s="244"/>
      <c r="I23" s="244"/>
      <c r="J23" s="244"/>
      <c r="K23" s="244"/>
      <c r="L23" s="244"/>
    </row>
    <row r="24" spans="1:12" x14ac:dyDescent="0.3">
      <c r="A24" s="246">
        <v>43800</v>
      </c>
      <c r="B24" s="247">
        <v>2102</v>
      </c>
      <c r="C24" s="248">
        <v>5</v>
      </c>
      <c r="D24" s="247">
        <f t="shared" si="2"/>
        <v>10510</v>
      </c>
      <c r="E24" s="244"/>
      <c r="F24" s="244"/>
      <c r="G24" s="244"/>
      <c r="H24" s="244"/>
      <c r="I24" s="244"/>
      <c r="J24" s="244"/>
      <c r="K24" s="244"/>
      <c r="L24" s="244"/>
    </row>
    <row r="25" spans="1:12" x14ac:dyDescent="0.3">
      <c r="A25" s="245"/>
      <c r="B25" s="245"/>
      <c r="C25" s="248">
        <f>SUM(C22:C24)</f>
        <v>12</v>
      </c>
      <c r="D25" s="247">
        <f>SUM(D22:D24)</f>
        <v>24387</v>
      </c>
      <c r="E25" s="244"/>
      <c r="F25" s="244"/>
      <c r="G25" s="244"/>
      <c r="H25" s="244"/>
      <c r="I25" s="244"/>
      <c r="J25" s="244"/>
      <c r="K25" s="244"/>
      <c r="L25" s="244"/>
    </row>
    <row r="26" spans="1:12" x14ac:dyDescent="0.3">
      <c r="A26" s="249" t="s">
        <v>295</v>
      </c>
      <c r="B26" s="249"/>
      <c r="C26" s="249"/>
      <c r="D26" s="250">
        <f>ROUND(D25/C25,0)</f>
        <v>2032</v>
      </c>
      <c r="E26" s="244"/>
      <c r="F26" s="244"/>
      <c r="G26" s="244"/>
      <c r="H26" s="244"/>
      <c r="I26" s="244"/>
      <c r="J26" s="244"/>
      <c r="K26" s="244"/>
      <c r="L26" s="244"/>
    </row>
    <row r="27" spans="1:12" x14ac:dyDescent="0.3">
      <c r="A27" s="244"/>
      <c r="B27" s="244"/>
      <c r="C27" s="244"/>
      <c r="D27" s="244"/>
      <c r="E27" s="244"/>
      <c r="F27" s="244"/>
      <c r="G27" s="244"/>
      <c r="H27" s="244"/>
      <c r="I27" s="244"/>
      <c r="J27" s="244"/>
      <c r="K27" s="244"/>
      <c r="L27" s="244"/>
    </row>
    <row r="28" spans="1:12" x14ac:dyDescent="0.3">
      <c r="A28" s="244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</row>
    <row r="29" spans="1:12" x14ac:dyDescent="0.3">
      <c r="A29" s="244"/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</row>
    <row r="30" spans="1:12" x14ac:dyDescent="0.3">
      <c r="A30" s="244"/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</row>
    <row r="31" spans="1:12" x14ac:dyDescent="0.3">
      <c r="A31" s="244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</row>
    <row r="32" spans="1:12" x14ac:dyDescent="0.3">
      <c r="A32" s="244"/>
      <c r="B32" s="244"/>
      <c r="C32" s="244"/>
      <c r="D32" s="244"/>
      <c r="E32" s="244"/>
      <c r="F32" s="244"/>
      <c r="G32" s="244"/>
      <c r="H32" s="244"/>
      <c r="I32" s="244"/>
      <c r="J32" s="244"/>
      <c r="K32" s="244"/>
      <c r="L32" s="244"/>
    </row>
    <row r="33" spans="1:12" x14ac:dyDescent="0.3">
      <c r="A33" s="244"/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</row>
    <row r="34" spans="1:12" x14ac:dyDescent="0.3">
      <c r="A34" s="244"/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</row>
    <row r="35" spans="1:12" x14ac:dyDescent="0.3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</row>
    <row r="36" spans="1:12" x14ac:dyDescent="0.3">
      <c r="A36" s="244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</row>
    <row r="37" spans="1:12" x14ac:dyDescent="0.3">
      <c r="A37" s="244"/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</row>
    <row r="38" spans="1:12" x14ac:dyDescent="0.3">
      <c r="A38" s="244"/>
      <c r="B38" s="244"/>
      <c r="C38" s="244"/>
      <c r="D38" s="244"/>
      <c r="E38" s="244"/>
      <c r="F38" s="244"/>
      <c r="G38" s="244"/>
      <c r="H38" s="244"/>
      <c r="I38" s="244"/>
      <c r="J38" s="244"/>
      <c r="K38" s="244"/>
      <c r="L38" s="244"/>
    </row>
    <row r="39" spans="1:12" x14ac:dyDescent="0.3">
      <c r="A39" s="244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</row>
    <row r="40" spans="1:12" x14ac:dyDescent="0.3">
      <c r="A40" s="244"/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</row>
    <row r="41" spans="1:12" x14ac:dyDescent="0.3">
      <c r="A41" s="244"/>
      <c r="B41" s="244"/>
      <c r="C41" s="244"/>
      <c r="D41" s="244"/>
      <c r="E41" s="244"/>
      <c r="F41" s="244"/>
      <c r="G41" s="244"/>
      <c r="H41" s="244"/>
      <c r="I41" s="244"/>
      <c r="J41" s="244"/>
      <c r="K41" s="244"/>
      <c r="L41" s="244"/>
    </row>
    <row r="42" spans="1:12" x14ac:dyDescent="0.3">
      <c r="A42" s="244"/>
      <c r="B42" s="244"/>
      <c r="C42" s="244"/>
      <c r="D42" s="244"/>
      <c r="E42" s="244"/>
      <c r="F42" s="244"/>
      <c r="G42" s="244"/>
      <c r="H42" s="244"/>
      <c r="I42" s="244"/>
      <c r="J42" s="244"/>
      <c r="K42" s="244"/>
      <c r="L42" s="244"/>
    </row>
    <row r="43" spans="1:12" x14ac:dyDescent="0.3">
      <c r="A43" s="244"/>
      <c r="B43" s="244"/>
      <c r="C43" s="244"/>
      <c r="D43" s="244"/>
      <c r="E43" s="244"/>
      <c r="F43" s="244"/>
      <c r="G43" s="244"/>
      <c r="H43" s="244"/>
      <c r="I43" s="244"/>
      <c r="J43" s="244"/>
      <c r="K43" s="244"/>
      <c r="L43" s="244"/>
    </row>
    <row r="44" spans="1:12" x14ac:dyDescent="0.3">
      <c r="A44" s="244"/>
      <c r="B44" s="244"/>
      <c r="C44" s="244"/>
      <c r="D44" s="244"/>
      <c r="E44" s="244"/>
      <c r="F44" s="244"/>
      <c r="G44" s="244"/>
      <c r="H44" s="244"/>
      <c r="I44" s="244"/>
      <c r="J44" s="244"/>
      <c r="K44" s="244"/>
      <c r="L44" s="244"/>
    </row>
    <row r="45" spans="1:12" x14ac:dyDescent="0.3">
      <c r="A45" s="244"/>
      <c r="B45" s="244"/>
      <c r="C45" s="244"/>
      <c r="D45" s="244"/>
      <c r="E45" s="244"/>
      <c r="F45" s="244"/>
      <c r="G45" s="244"/>
      <c r="H45" s="244"/>
      <c r="I45" s="244"/>
      <c r="J45" s="244"/>
      <c r="K45" s="244"/>
      <c r="L45" s="244"/>
    </row>
    <row r="46" spans="1:12" x14ac:dyDescent="0.3">
      <c r="A46" s="244"/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244"/>
    </row>
    <row r="47" spans="1:12" x14ac:dyDescent="0.3">
      <c r="A47" s="244"/>
      <c r="B47" s="244"/>
      <c r="C47" s="244"/>
      <c r="D47" s="244"/>
      <c r="E47" s="244"/>
      <c r="F47" s="244"/>
      <c r="G47" s="244"/>
      <c r="H47" s="244"/>
      <c r="I47" s="244"/>
      <c r="J47" s="244"/>
      <c r="K47" s="244"/>
      <c r="L47" s="244"/>
    </row>
    <row r="48" spans="1:12" x14ac:dyDescent="0.3">
      <c r="A48" s="244"/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</row>
    <row r="49" spans="1:12" x14ac:dyDescent="0.3">
      <c r="A49" s="244"/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</row>
    <row r="50" spans="1:12" x14ac:dyDescent="0.3">
      <c r="A50" s="244"/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</row>
    <row r="51" spans="1:12" x14ac:dyDescent="0.3">
      <c r="A51" s="244"/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</row>
    <row r="52" spans="1:12" x14ac:dyDescent="0.3">
      <c r="A52" s="244"/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</row>
    <row r="53" spans="1:12" x14ac:dyDescent="0.3">
      <c r="A53" s="244"/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</row>
    <row r="54" spans="1:12" x14ac:dyDescent="0.3">
      <c r="A54" s="244"/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</row>
    <row r="55" spans="1:12" x14ac:dyDescent="0.3">
      <c r="A55" s="244"/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</row>
    <row r="56" spans="1:12" x14ac:dyDescent="0.3">
      <c r="A56" s="244"/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</row>
    <row r="57" spans="1:12" x14ac:dyDescent="0.3">
      <c r="A57" s="244"/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</row>
    <row r="58" spans="1:12" x14ac:dyDescent="0.3">
      <c r="A58" s="244"/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</row>
    <row r="59" spans="1:12" x14ac:dyDescent="0.3">
      <c r="A59" s="244"/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</row>
    <row r="60" spans="1:12" x14ac:dyDescent="0.3">
      <c r="A60" s="244"/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</row>
    <row r="61" spans="1:12" x14ac:dyDescent="0.3">
      <c r="A61" s="244"/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</row>
    <row r="62" spans="1:12" x14ac:dyDescent="0.3">
      <c r="A62" s="244"/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</row>
    <row r="63" spans="1:12" x14ac:dyDescent="0.3">
      <c r="A63" s="244"/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</row>
    <row r="64" spans="1:12" x14ac:dyDescent="0.3">
      <c r="A64" s="244"/>
      <c r="B64" s="244"/>
      <c r="C64" s="244"/>
      <c r="D64" s="244"/>
      <c r="E64" s="244"/>
      <c r="F64" s="244"/>
      <c r="G64" s="244"/>
      <c r="H64" s="244"/>
      <c r="I64" s="244"/>
      <c r="J64" s="244"/>
      <c r="K64" s="244"/>
      <c r="L64" s="244"/>
    </row>
    <row r="65" spans="1:12" x14ac:dyDescent="0.3">
      <c r="A65" s="244"/>
      <c r="B65" s="244"/>
      <c r="C65" s="244"/>
      <c r="D65" s="244"/>
      <c r="E65" s="244"/>
      <c r="F65" s="244"/>
      <c r="G65" s="244"/>
      <c r="H65" s="244"/>
      <c r="I65" s="244"/>
      <c r="J65" s="244"/>
      <c r="K65" s="244"/>
      <c r="L65" s="244"/>
    </row>
    <row r="66" spans="1:12" x14ac:dyDescent="0.3">
      <c r="A66" s="244"/>
      <c r="B66" s="244"/>
      <c r="C66" s="244"/>
      <c r="D66" s="244"/>
      <c r="E66" s="244"/>
      <c r="F66" s="244"/>
      <c r="G66" s="244"/>
      <c r="H66" s="244"/>
      <c r="I66" s="244"/>
      <c r="J66" s="244"/>
      <c r="K66" s="244"/>
      <c r="L66" s="244"/>
    </row>
    <row r="67" spans="1:12" x14ac:dyDescent="0.3">
      <c r="A67" s="244"/>
      <c r="B67" s="244"/>
      <c r="C67" s="244"/>
      <c r="D67" s="244"/>
      <c r="E67" s="244"/>
      <c r="F67" s="244"/>
      <c r="G67" s="244"/>
      <c r="H67" s="244"/>
      <c r="I67" s="244"/>
      <c r="J67" s="244"/>
      <c r="K67" s="244"/>
      <c r="L67" s="244"/>
    </row>
    <row r="68" spans="1:12" x14ac:dyDescent="0.3">
      <c r="A68" s="244"/>
      <c r="B68" s="244"/>
      <c r="C68" s="244"/>
      <c r="D68" s="244"/>
      <c r="E68" s="244"/>
      <c r="F68" s="244"/>
      <c r="G68" s="244"/>
      <c r="H68" s="244"/>
      <c r="I68" s="244"/>
      <c r="J68" s="244"/>
      <c r="K68" s="244"/>
      <c r="L68" s="244"/>
    </row>
    <row r="69" spans="1:12" x14ac:dyDescent="0.3">
      <c r="A69" s="244"/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</row>
    <row r="70" spans="1:12" x14ac:dyDescent="0.3">
      <c r="A70" s="244"/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4"/>
    </row>
    <row r="71" spans="1:12" x14ac:dyDescent="0.3">
      <c r="A71" s="244"/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</row>
    <row r="72" spans="1:12" x14ac:dyDescent="0.3">
      <c r="A72" s="244"/>
      <c r="B72" s="244"/>
      <c r="C72" s="244"/>
      <c r="D72" s="244"/>
      <c r="E72" s="244"/>
      <c r="F72" s="244"/>
      <c r="G72" s="244"/>
      <c r="H72" s="244"/>
      <c r="I72" s="244"/>
      <c r="J72" s="244"/>
      <c r="K72" s="244"/>
      <c r="L72" s="244"/>
    </row>
    <row r="73" spans="1:12" x14ac:dyDescent="0.3">
      <c r="A73" s="244"/>
      <c r="B73" s="244"/>
      <c r="C73" s="244"/>
      <c r="D73" s="244"/>
      <c r="E73" s="244"/>
      <c r="F73" s="244"/>
      <c r="G73" s="244"/>
      <c r="H73" s="244"/>
      <c r="I73" s="244"/>
      <c r="J73" s="244"/>
      <c r="K73" s="244"/>
      <c r="L73" s="244"/>
    </row>
    <row r="74" spans="1:12" x14ac:dyDescent="0.3">
      <c r="A74" s="244"/>
      <c r="B74" s="244"/>
      <c r="C74" s="244"/>
      <c r="D74" s="244"/>
      <c r="E74" s="244"/>
      <c r="F74" s="244"/>
      <c r="G74" s="244"/>
      <c r="H74" s="244"/>
      <c r="I74" s="244"/>
      <c r="J74" s="244"/>
      <c r="K74" s="244"/>
      <c r="L74" s="244"/>
    </row>
    <row r="75" spans="1:12" x14ac:dyDescent="0.3">
      <c r="A75" s="244"/>
      <c r="B75" s="244"/>
      <c r="C75" s="244"/>
      <c r="D75" s="244"/>
      <c r="E75" s="244"/>
      <c r="F75" s="244"/>
      <c r="G75" s="244"/>
      <c r="H75" s="244"/>
      <c r="I75" s="244"/>
      <c r="J75" s="244"/>
      <c r="K75" s="244"/>
      <c r="L75" s="244"/>
    </row>
    <row r="76" spans="1:12" x14ac:dyDescent="0.3">
      <c r="A76" s="244"/>
      <c r="B76" s="244"/>
      <c r="C76" s="244"/>
      <c r="D76" s="244"/>
      <c r="E76" s="244"/>
      <c r="F76" s="244"/>
      <c r="G76" s="244"/>
      <c r="H76" s="244"/>
      <c r="I76" s="244"/>
      <c r="J76" s="244"/>
      <c r="K76" s="244"/>
      <c r="L76" s="244"/>
    </row>
    <row r="77" spans="1:12" x14ac:dyDescent="0.3">
      <c r="A77" s="244"/>
      <c r="B77" s="244"/>
      <c r="C77" s="244"/>
      <c r="D77" s="244"/>
      <c r="E77" s="244"/>
      <c r="F77" s="244"/>
      <c r="G77" s="244"/>
      <c r="H77" s="244"/>
      <c r="I77" s="244"/>
      <c r="J77" s="244"/>
      <c r="K77" s="244"/>
      <c r="L77" s="244"/>
    </row>
    <row r="78" spans="1:12" x14ac:dyDescent="0.3">
      <c r="A78" s="244"/>
      <c r="B78" s="244"/>
      <c r="C78" s="244"/>
      <c r="D78" s="244"/>
      <c r="E78" s="244"/>
      <c r="F78" s="244"/>
      <c r="G78" s="244"/>
      <c r="H78" s="244"/>
      <c r="I78" s="244"/>
      <c r="J78" s="244"/>
      <c r="K78" s="244"/>
      <c r="L78" s="244"/>
    </row>
    <row r="79" spans="1:12" x14ac:dyDescent="0.3">
      <c r="A79" s="244"/>
      <c r="B79" s="244"/>
      <c r="C79" s="244"/>
      <c r="D79" s="244"/>
      <c r="E79" s="244"/>
      <c r="F79" s="244"/>
      <c r="G79" s="244"/>
      <c r="H79" s="244"/>
      <c r="I79" s="244"/>
      <c r="J79" s="244"/>
      <c r="K79" s="244"/>
      <c r="L79" s="244"/>
    </row>
    <row r="80" spans="1:12" x14ac:dyDescent="0.3">
      <c r="A80" s="244"/>
      <c r="B80" s="244"/>
      <c r="C80" s="244"/>
      <c r="D80" s="244"/>
      <c r="E80" s="244"/>
      <c r="F80" s="244"/>
      <c r="G80" s="244"/>
      <c r="H80" s="244"/>
      <c r="I80" s="244"/>
      <c r="J80" s="244"/>
      <c r="K80" s="244"/>
      <c r="L80" s="244"/>
    </row>
    <row r="81" spans="1:12" x14ac:dyDescent="0.3">
      <c r="A81" s="244"/>
      <c r="B81" s="244"/>
      <c r="C81" s="244"/>
      <c r="D81" s="244"/>
      <c r="E81" s="244"/>
      <c r="F81" s="244"/>
      <c r="G81" s="244"/>
      <c r="H81" s="244"/>
      <c r="I81" s="244"/>
      <c r="J81" s="244"/>
      <c r="K81" s="244"/>
      <c r="L81" s="244"/>
    </row>
    <row r="82" spans="1:12" x14ac:dyDescent="0.3">
      <c r="A82" s="244"/>
      <c r="B82" s="244"/>
      <c r="C82" s="244"/>
      <c r="D82" s="244"/>
      <c r="E82" s="244"/>
      <c r="F82" s="244"/>
      <c r="G82" s="244"/>
      <c r="H82" s="244"/>
      <c r="I82" s="244"/>
      <c r="J82" s="244"/>
      <c r="K82" s="244"/>
      <c r="L82" s="244"/>
    </row>
    <row r="83" spans="1:12" x14ac:dyDescent="0.3">
      <c r="A83" s="244"/>
      <c r="B83" s="244"/>
      <c r="C83" s="244"/>
      <c r="D83" s="244"/>
      <c r="E83" s="244"/>
      <c r="F83" s="244"/>
      <c r="G83" s="244"/>
      <c r="H83" s="244"/>
      <c r="I83" s="244"/>
      <c r="J83" s="244"/>
      <c r="K83" s="244"/>
      <c r="L83" s="244"/>
    </row>
    <row r="84" spans="1:12" x14ac:dyDescent="0.3">
      <c r="A84" s="244"/>
      <c r="B84" s="244"/>
      <c r="C84" s="244"/>
      <c r="D84" s="244"/>
      <c r="E84" s="244"/>
      <c r="F84" s="244"/>
      <c r="G84" s="244"/>
      <c r="H84" s="244"/>
      <c r="I84" s="244"/>
      <c r="J84" s="244"/>
      <c r="K84" s="244"/>
      <c r="L84" s="244"/>
    </row>
    <row r="85" spans="1:12" x14ac:dyDescent="0.3">
      <c r="A85" s="244"/>
      <c r="B85" s="244"/>
      <c r="C85" s="244"/>
      <c r="D85" s="244"/>
      <c r="E85" s="244"/>
      <c r="F85" s="244"/>
      <c r="G85" s="244"/>
      <c r="H85" s="244"/>
      <c r="I85" s="244"/>
      <c r="J85" s="244"/>
      <c r="K85" s="244"/>
      <c r="L85" s="244"/>
    </row>
    <row r="86" spans="1:12" x14ac:dyDescent="0.3">
      <c r="A86" s="244"/>
      <c r="B86" s="244"/>
      <c r="C86" s="244"/>
      <c r="D86" s="244"/>
      <c r="E86" s="244"/>
      <c r="F86" s="244"/>
      <c r="G86" s="244"/>
      <c r="H86" s="244"/>
      <c r="I86" s="244"/>
      <c r="J86" s="244"/>
      <c r="K86" s="244"/>
      <c r="L86" s="244"/>
    </row>
    <row r="87" spans="1:12" x14ac:dyDescent="0.3">
      <c r="A87" s="244"/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244"/>
    </row>
    <row r="88" spans="1:12" x14ac:dyDescent="0.3">
      <c r="A88" s="244"/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</row>
    <row r="89" spans="1:12" x14ac:dyDescent="0.3">
      <c r="A89" s="244"/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</row>
    <row r="90" spans="1:12" x14ac:dyDescent="0.3">
      <c r="A90" s="244"/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</row>
    <row r="91" spans="1:12" x14ac:dyDescent="0.3">
      <c r="A91" s="244"/>
      <c r="B91" s="244"/>
      <c r="C91" s="244"/>
      <c r="D91" s="244"/>
      <c r="E91" s="244"/>
      <c r="F91" s="244"/>
      <c r="G91" s="244"/>
      <c r="H91" s="244"/>
      <c r="I91" s="244"/>
      <c r="J91" s="244"/>
      <c r="K91" s="244"/>
      <c r="L91" s="244"/>
    </row>
    <row r="92" spans="1:12" x14ac:dyDescent="0.3">
      <c r="A92" s="244"/>
      <c r="B92" s="244"/>
      <c r="C92" s="244"/>
      <c r="D92" s="244"/>
      <c r="E92" s="244"/>
      <c r="F92" s="244"/>
      <c r="G92" s="244"/>
      <c r="H92" s="244"/>
      <c r="I92" s="244"/>
      <c r="J92" s="244"/>
      <c r="K92" s="244"/>
      <c r="L92" s="244"/>
    </row>
    <row r="93" spans="1:12" x14ac:dyDescent="0.3">
      <c r="A93" s="244"/>
      <c r="B93" s="244"/>
      <c r="C93" s="244"/>
      <c r="D93" s="244"/>
      <c r="E93" s="244"/>
      <c r="F93" s="244"/>
      <c r="G93" s="244"/>
      <c r="H93" s="244"/>
      <c r="I93" s="244"/>
      <c r="J93" s="244"/>
      <c r="K93" s="244"/>
      <c r="L93" s="244"/>
    </row>
    <row r="94" spans="1:12" x14ac:dyDescent="0.3">
      <c r="A94" s="244"/>
      <c r="B94" s="244"/>
      <c r="C94" s="244"/>
      <c r="D94" s="244"/>
      <c r="E94" s="244"/>
      <c r="F94" s="244"/>
      <c r="G94" s="244"/>
      <c r="H94" s="244"/>
      <c r="I94" s="244"/>
      <c r="J94" s="244"/>
      <c r="K94" s="244"/>
      <c r="L94" s="244"/>
    </row>
    <row r="95" spans="1:12" x14ac:dyDescent="0.3">
      <c r="A95" s="244"/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244"/>
    </row>
    <row r="96" spans="1:12" x14ac:dyDescent="0.3">
      <c r="A96" s="244"/>
      <c r="B96" s="244"/>
      <c r="C96" s="244"/>
      <c r="D96" s="244"/>
      <c r="E96" s="244"/>
      <c r="F96" s="244"/>
      <c r="G96" s="244"/>
      <c r="H96" s="244"/>
      <c r="I96" s="244"/>
      <c r="J96" s="244"/>
      <c r="K96" s="244"/>
      <c r="L96" s="244"/>
    </row>
    <row r="97" spans="1:12" x14ac:dyDescent="0.3">
      <c r="A97" s="244"/>
      <c r="B97" s="244"/>
      <c r="C97" s="244"/>
      <c r="D97" s="244"/>
      <c r="E97" s="244"/>
      <c r="F97" s="244"/>
      <c r="G97" s="244"/>
      <c r="H97" s="244"/>
      <c r="I97" s="244"/>
      <c r="J97" s="244"/>
      <c r="K97" s="244"/>
      <c r="L97" s="244"/>
    </row>
    <row r="98" spans="1:12" x14ac:dyDescent="0.3">
      <c r="A98" s="244"/>
      <c r="B98" s="244"/>
      <c r="C98" s="244"/>
      <c r="D98" s="244"/>
      <c r="E98" s="244"/>
      <c r="F98" s="244"/>
      <c r="G98" s="244"/>
      <c r="H98" s="244"/>
      <c r="I98" s="244"/>
      <c r="J98" s="244"/>
      <c r="K98" s="244"/>
      <c r="L98" s="244"/>
    </row>
    <row r="99" spans="1:12" x14ac:dyDescent="0.3">
      <c r="A99" s="244"/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</row>
    <row r="100" spans="1:12" x14ac:dyDescent="0.3">
      <c r="A100" s="244"/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  <c r="L100" s="244"/>
    </row>
    <row r="101" spans="1:12" x14ac:dyDescent="0.3">
      <c r="A101" s="244"/>
      <c r="B101" s="244"/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</row>
    <row r="102" spans="1:12" x14ac:dyDescent="0.3">
      <c r="A102" s="244"/>
      <c r="B102" s="244"/>
      <c r="C102" s="244"/>
      <c r="D102" s="244"/>
      <c r="E102" s="244"/>
      <c r="F102" s="244"/>
      <c r="G102" s="244"/>
      <c r="H102" s="244"/>
      <c r="I102" s="244"/>
      <c r="J102" s="244"/>
      <c r="K102" s="244"/>
      <c r="L102" s="244"/>
    </row>
    <row r="103" spans="1:12" x14ac:dyDescent="0.3">
      <c r="A103" s="244"/>
      <c r="B103" s="244"/>
      <c r="C103" s="244"/>
      <c r="D103" s="244"/>
      <c r="E103" s="244"/>
      <c r="F103" s="244"/>
      <c r="G103" s="244"/>
      <c r="H103" s="244"/>
      <c r="I103" s="244"/>
      <c r="J103" s="244"/>
      <c r="K103" s="244"/>
      <c r="L103" s="244"/>
    </row>
    <row r="104" spans="1:12" x14ac:dyDescent="0.3">
      <c r="A104" s="244"/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2" x14ac:dyDescent="0.3">
      <c r="A105" s="244"/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</row>
    <row r="106" spans="1:12" x14ac:dyDescent="0.3">
      <c r="A106" s="244"/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2" x14ac:dyDescent="0.3">
      <c r="A107" s="244"/>
      <c r="B107" s="244"/>
      <c r="C107" s="244"/>
      <c r="D107" s="244"/>
      <c r="E107" s="244"/>
      <c r="F107" s="244"/>
      <c r="G107" s="244"/>
      <c r="H107" s="244"/>
      <c r="I107" s="244"/>
      <c r="J107" s="244"/>
      <c r="K107" s="244"/>
      <c r="L107" s="244"/>
    </row>
    <row r="108" spans="1:12" x14ac:dyDescent="0.3">
      <c r="A108" s="244"/>
      <c r="B108" s="244"/>
      <c r="C108" s="244"/>
      <c r="D108" s="244"/>
      <c r="E108" s="244"/>
      <c r="F108" s="244"/>
      <c r="G108" s="244"/>
      <c r="H108" s="244"/>
      <c r="I108" s="244"/>
      <c r="J108" s="244"/>
      <c r="K108" s="244"/>
      <c r="L108" s="244"/>
    </row>
    <row r="109" spans="1:12" x14ac:dyDescent="0.3">
      <c r="A109" s="244"/>
      <c r="B109" s="244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</row>
    <row r="110" spans="1:12" x14ac:dyDescent="0.3">
      <c r="A110" s="244"/>
      <c r="B110" s="244"/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</row>
    <row r="111" spans="1:12" x14ac:dyDescent="0.3">
      <c r="A111" s="244"/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</row>
    <row r="112" spans="1:12" x14ac:dyDescent="0.3">
      <c r="A112" s="244"/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</row>
    <row r="113" spans="1:12" x14ac:dyDescent="0.3">
      <c r="A113" s="244"/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</row>
    <row r="114" spans="1:12" x14ac:dyDescent="0.3">
      <c r="A114" s="244"/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</row>
    <row r="115" spans="1:12" x14ac:dyDescent="0.3">
      <c r="A115" s="244"/>
      <c r="B115" s="244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</row>
    <row r="116" spans="1:12" x14ac:dyDescent="0.3">
      <c r="A116" s="244"/>
      <c r="B116" s="244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</row>
    <row r="117" spans="1:12" x14ac:dyDescent="0.3">
      <c r="A117" s="244"/>
      <c r="B117" s="244"/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</row>
    <row r="118" spans="1:12" x14ac:dyDescent="0.3">
      <c r="A118" s="244"/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</row>
    <row r="119" spans="1:12" x14ac:dyDescent="0.3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</row>
    <row r="120" spans="1:12" x14ac:dyDescent="0.3">
      <c r="A120" s="244"/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  <c r="L120" s="244"/>
    </row>
    <row r="121" spans="1:12" x14ac:dyDescent="0.3">
      <c r="A121" s="244"/>
      <c r="B121" s="244"/>
      <c r="C121" s="244"/>
      <c r="D121" s="244"/>
      <c r="E121" s="244"/>
      <c r="F121" s="244"/>
      <c r="G121" s="244"/>
      <c r="H121" s="244"/>
      <c r="I121" s="244"/>
      <c r="J121" s="244"/>
      <c r="K121" s="244"/>
      <c r="L121" s="244"/>
    </row>
    <row r="122" spans="1:12" x14ac:dyDescent="0.3">
      <c r="A122" s="244"/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244"/>
    </row>
    <row r="123" spans="1:12" x14ac:dyDescent="0.3">
      <c r="A123" s="244"/>
      <c r="B123" s="244"/>
      <c r="C123" s="244"/>
      <c r="D123" s="244"/>
      <c r="E123" s="244"/>
      <c r="F123" s="244"/>
      <c r="G123" s="244"/>
      <c r="H123" s="244"/>
      <c r="I123" s="244"/>
      <c r="J123" s="244"/>
      <c r="K123" s="244"/>
      <c r="L123" s="244"/>
    </row>
    <row r="124" spans="1:12" x14ac:dyDescent="0.3">
      <c r="A124" s="244"/>
      <c r="B124" s="244"/>
      <c r="C124" s="244"/>
      <c r="D124" s="244"/>
      <c r="E124" s="244"/>
      <c r="F124" s="244"/>
      <c r="G124" s="244"/>
      <c r="H124" s="244"/>
      <c r="I124" s="244"/>
      <c r="J124" s="244"/>
      <c r="K124" s="244"/>
      <c r="L124" s="244"/>
    </row>
    <row r="125" spans="1:12" x14ac:dyDescent="0.3">
      <c r="A125" s="244"/>
      <c r="B125" s="244"/>
      <c r="C125" s="244"/>
      <c r="D125" s="244"/>
      <c r="E125" s="244"/>
      <c r="F125" s="244"/>
      <c r="G125" s="244"/>
      <c r="H125" s="244"/>
      <c r="I125" s="244"/>
      <c r="J125" s="244"/>
      <c r="K125" s="244"/>
      <c r="L125" s="244"/>
    </row>
    <row r="126" spans="1:12" x14ac:dyDescent="0.3">
      <c r="A126" s="244"/>
      <c r="B126" s="244"/>
      <c r="C126" s="244"/>
      <c r="D126" s="244"/>
      <c r="E126" s="244"/>
      <c r="F126" s="244"/>
      <c r="G126" s="244"/>
      <c r="H126" s="244"/>
      <c r="I126" s="244"/>
      <c r="J126" s="244"/>
      <c r="K126" s="244"/>
      <c r="L126" s="244"/>
    </row>
    <row r="127" spans="1:12" x14ac:dyDescent="0.3">
      <c r="A127" s="244"/>
      <c r="B127" s="244"/>
      <c r="C127" s="244"/>
      <c r="D127" s="244"/>
      <c r="E127" s="244"/>
      <c r="F127" s="244"/>
      <c r="G127" s="244"/>
      <c r="H127" s="244"/>
      <c r="I127" s="244"/>
      <c r="J127" s="244"/>
      <c r="K127" s="244"/>
      <c r="L127" s="244"/>
    </row>
    <row r="128" spans="1:12" x14ac:dyDescent="0.3">
      <c r="A128" s="244"/>
      <c r="B128" s="244"/>
      <c r="C128" s="244"/>
      <c r="D128" s="244"/>
      <c r="E128" s="244"/>
      <c r="F128" s="244"/>
      <c r="G128" s="244"/>
      <c r="H128" s="244"/>
      <c r="I128" s="244"/>
      <c r="J128" s="244"/>
      <c r="K128" s="244"/>
      <c r="L128" s="244"/>
    </row>
    <row r="129" spans="1:12" x14ac:dyDescent="0.3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</row>
    <row r="130" spans="1:12" x14ac:dyDescent="0.3">
      <c r="A130" s="244"/>
      <c r="B130" s="244"/>
      <c r="C130" s="244"/>
      <c r="D130" s="244"/>
      <c r="E130" s="244"/>
      <c r="F130" s="244"/>
      <c r="G130" s="244"/>
      <c r="H130" s="244"/>
      <c r="I130" s="244"/>
      <c r="J130" s="244"/>
      <c r="K130" s="244"/>
      <c r="L130" s="244"/>
    </row>
    <row r="131" spans="1:12" x14ac:dyDescent="0.3">
      <c r="A131" s="244"/>
      <c r="B131" s="244"/>
      <c r="C131" s="244"/>
      <c r="D131" s="244"/>
      <c r="E131" s="244"/>
      <c r="F131" s="244"/>
      <c r="G131" s="244"/>
      <c r="H131" s="244"/>
      <c r="I131" s="244"/>
      <c r="J131" s="244"/>
      <c r="K131" s="244"/>
      <c r="L131" s="244"/>
    </row>
    <row r="132" spans="1:12" x14ac:dyDescent="0.3">
      <c r="A132" s="244"/>
      <c r="B132" s="244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</row>
    <row r="133" spans="1:12" x14ac:dyDescent="0.3">
      <c r="A133" s="244"/>
      <c r="B133" s="244"/>
      <c r="C133" s="244"/>
      <c r="D133" s="244"/>
      <c r="E133" s="244"/>
      <c r="F133" s="244"/>
      <c r="G133" s="244"/>
      <c r="H133" s="244"/>
      <c r="I133" s="244"/>
      <c r="J133" s="244"/>
      <c r="K133" s="244"/>
      <c r="L133" s="244"/>
    </row>
    <row r="134" spans="1:12" x14ac:dyDescent="0.3">
      <c r="A134" s="244"/>
      <c r="B134" s="244"/>
      <c r="C134" s="244"/>
      <c r="D134" s="244"/>
      <c r="E134" s="244"/>
      <c r="F134" s="244"/>
      <c r="G134" s="244"/>
      <c r="H134" s="244"/>
      <c r="I134" s="244"/>
      <c r="J134" s="244"/>
      <c r="K134" s="244"/>
      <c r="L134" s="244"/>
    </row>
    <row r="135" spans="1:12" x14ac:dyDescent="0.3">
      <c r="A135" s="244"/>
      <c r="B135" s="244"/>
      <c r="C135" s="244"/>
      <c r="D135" s="244"/>
      <c r="E135" s="244"/>
      <c r="F135" s="244"/>
      <c r="G135" s="244"/>
      <c r="H135" s="244"/>
      <c r="I135" s="244"/>
      <c r="J135" s="244"/>
      <c r="K135" s="244"/>
      <c r="L135" s="244"/>
    </row>
    <row r="136" spans="1:12" x14ac:dyDescent="0.3">
      <c r="A136" s="244"/>
      <c r="B136" s="244"/>
      <c r="C136" s="244"/>
      <c r="D136" s="244"/>
      <c r="E136" s="244"/>
      <c r="F136" s="244"/>
      <c r="G136" s="244"/>
      <c r="H136" s="244"/>
      <c r="I136" s="244"/>
      <c r="J136" s="244"/>
      <c r="K136" s="244"/>
      <c r="L136" s="244"/>
    </row>
    <row r="137" spans="1:12" x14ac:dyDescent="0.3">
      <c r="A137" s="244"/>
      <c r="B137" s="244"/>
      <c r="C137" s="244"/>
      <c r="D137" s="244"/>
      <c r="E137" s="244"/>
      <c r="F137" s="244"/>
      <c r="G137" s="244"/>
      <c r="H137" s="244"/>
      <c r="I137" s="244"/>
      <c r="J137" s="244"/>
      <c r="K137" s="244"/>
      <c r="L137" s="244"/>
    </row>
    <row r="138" spans="1:12" x14ac:dyDescent="0.3">
      <c r="A138" s="244"/>
      <c r="B138" s="244"/>
      <c r="C138" s="244"/>
      <c r="D138" s="244"/>
      <c r="E138" s="244"/>
      <c r="F138" s="244"/>
      <c r="G138" s="244"/>
      <c r="H138" s="244"/>
      <c r="I138" s="244"/>
      <c r="J138" s="244"/>
      <c r="K138" s="244"/>
      <c r="L138" s="244"/>
    </row>
    <row r="139" spans="1:12" x14ac:dyDescent="0.3">
      <c r="A139" s="244"/>
      <c r="B139" s="244"/>
      <c r="C139" s="244"/>
      <c r="D139" s="244"/>
      <c r="E139" s="244"/>
      <c r="F139" s="244"/>
      <c r="G139" s="244"/>
      <c r="H139" s="244"/>
      <c r="I139" s="244"/>
      <c r="J139" s="244"/>
      <c r="K139" s="244"/>
      <c r="L139" s="244"/>
    </row>
    <row r="140" spans="1:12" x14ac:dyDescent="0.3">
      <c r="A140" s="244"/>
      <c r="B140" s="244"/>
      <c r="C140" s="244"/>
      <c r="D140" s="244"/>
      <c r="E140" s="244"/>
      <c r="F140" s="244"/>
      <c r="G140" s="244"/>
      <c r="H140" s="244"/>
      <c r="I140" s="244"/>
      <c r="J140" s="244"/>
      <c r="K140" s="244"/>
      <c r="L140" s="244"/>
    </row>
    <row r="141" spans="1:12" x14ac:dyDescent="0.3">
      <c r="A141" s="244"/>
      <c r="B141" s="244"/>
      <c r="C141" s="244"/>
      <c r="D141" s="244"/>
      <c r="E141" s="244"/>
      <c r="F141" s="244"/>
      <c r="G141" s="244"/>
      <c r="H141" s="244"/>
      <c r="I141" s="244"/>
      <c r="J141" s="244"/>
      <c r="K141" s="244"/>
      <c r="L141" s="244"/>
    </row>
    <row r="142" spans="1:12" x14ac:dyDescent="0.3">
      <c r="A142" s="244"/>
      <c r="B142" s="244"/>
      <c r="C142" s="244"/>
      <c r="D142" s="244"/>
      <c r="E142" s="244"/>
      <c r="F142" s="244"/>
      <c r="G142" s="244"/>
      <c r="H142" s="244"/>
      <c r="I142" s="244"/>
      <c r="J142" s="244"/>
      <c r="K142" s="244"/>
      <c r="L142" s="244"/>
    </row>
    <row r="143" spans="1:12" x14ac:dyDescent="0.3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</row>
    <row r="144" spans="1:12" x14ac:dyDescent="0.3">
      <c r="A144" s="244"/>
      <c r="B144" s="244"/>
      <c r="C144" s="244"/>
      <c r="D144" s="244"/>
      <c r="E144" s="244"/>
      <c r="F144" s="244"/>
      <c r="G144" s="244"/>
      <c r="H144" s="244"/>
      <c r="I144" s="244"/>
      <c r="J144" s="244"/>
      <c r="K144" s="244"/>
      <c r="L144" s="244"/>
    </row>
    <row r="145" spans="1:12" x14ac:dyDescent="0.3">
      <c r="A145" s="244"/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  <c r="L145" s="244"/>
    </row>
    <row r="146" spans="1:12" x14ac:dyDescent="0.3">
      <c r="A146" s="244"/>
      <c r="B146" s="244"/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</row>
    <row r="147" spans="1:12" x14ac:dyDescent="0.3">
      <c r="A147" s="244"/>
      <c r="B147" s="244"/>
      <c r="C147" s="244"/>
      <c r="D147" s="244"/>
      <c r="E147" s="244"/>
      <c r="F147" s="244"/>
      <c r="G147" s="244"/>
      <c r="H147" s="244"/>
      <c r="I147" s="244"/>
      <c r="J147" s="244"/>
      <c r="K147" s="244"/>
      <c r="L147" s="244"/>
    </row>
    <row r="148" spans="1:12" x14ac:dyDescent="0.3">
      <c r="A148" s="244"/>
      <c r="B148" s="244"/>
      <c r="C148" s="244"/>
      <c r="D148" s="244"/>
      <c r="E148" s="244"/>
      <c r="F148" s="244"/>
      <c r="G148" s="244"/>
      <c r="H148" s="244"/>
      <c r="I148" s="244"/>
      <c r="J148" s="244"/>
      <c r="K148" s="244"/>
      <c r="L148" s="244"/>
    </row>
    <row r="149" spans="1:12" x14ac:dyDescent="0.3">
      <c r="A149" s="244"/>
      <c r="B149" s="244"/>
      <c r="C149" s="244"/>
      <c r="D149" s="244"/>
      <c r="E149" s="244"/>
      <c r="F149" s="244"/>
      <c r="G149" s="244"/>
      <c r="H149" s="244"/>
      <c r="I149" s="244"/>
      <c r="J149" s="244"/>
      <c r="K149" s="244"/>
      <c r="L149" s="244"/>
    </row>
    <row r="150" spans="1:12" x14ac:dyDescent="0.3">
      <c r="A150" s="244"/>
      <c r="B150" s="244"/>
      <c r="C150" s="244"/>
      <c r="D150" s="244"/>
      <c r="E150" s="244"/>
      <c r="F150" s="244"/>
      <c r="G150" s="244"/>
      <c r="H150" s="244"/>
      <c r="I150" s="244"/>
      <c r="J150" s="244"/>
      <c r="K150" s="244"/>
      <c r="L150" s="244"/>
    </row>
    <row r="151" spans="1:12" x14ac:dyDescent="0.3">
      <c r="A151" s="244"/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</row>
    <row r="152" spans="1:12" x14ac:dyDescent="0.3">
      <c r="A152" s="244"/>
      <c r="B152" s="244"/>
      <c r="C152" s="244"/>
      <c r="D152" s="244"/>
      <c r="E152" s="244"/>
      <c r="F152" s="244"/>
      <c r="G152" s="244"/>
      <c r="H152" s="244"/>
      <c r="I152" s="244"/>
      <c r="J152" s="244"/>
      <c r="K152" s="244"/>
      <c r="L152" s="244"/>
    </row>
    <row r="153" spans="1:12" x14ac:dyDescent="0.3">
      <c r="A153" s="244"/>
      <c r="B153" s="244"/>
      <c r="C153" s="244"/>
      <c r="D153" s="244"/>
      <c r="E153" s="244"/>
      <c r="F153" s="244"/>
      <c r="G153" s="244"/>
      <c r="H153" s="244"/>
      <c r="I153" s="244"/>
      <c r="J153" s="244"/>
      <c r="K153" s="244"/>
      <c r="L153" s="244"/>
    </row>
    <row r="154" spans="1:12" x14ac:dyDescent="0.3">
      <c r="A154" s="244"/>
      <c r="B154" s="244"/>
      <c r="C154" s="244"/>
      <c r="D154" s="244"/>
      <c r="E154" s="244"/>
      <c r="F154" s="244"/>
      <c r="G154" s="244"/>
      <c r="H154" s="244"/>
      <c r="I154" s="244"/>
      <c r="J154" s="244"/>
      <c r="K154" s="244"/>
      <c r="L154" s="244"/>
    </row>
    <row r="155" spans="1:12" x14ac:dyDescent="0.3">
      <c r="A155" s="244"/>
      <c r="B155" s="244"/>
      <c r="C155" s="244"/>
      <c r="D155" s="244"/>
      <c r="E155" s="244"/>
      <c r="F155" s="244"/>
      <c r="G155" s="244"/>
      <c r="H155" s="244"/>
      <c r="I155" s="244"/>
      <c r="J155" s="244"/>
      <c r="K155" s="244"/>
      <c r="L155" s="244"/>
    </row>
    <row r="156" spans="1:12" x14ac:dyDescent="0.3">
      <c r="A156" s="244"/>
      <c r="B156" s="244"/>
      <c r="C156" s="244"/>
      <c r="D156" s="244"/>
      <c r="E156" s="244"/>
      <c r="F156" s="244"/>
      <c r="G156" s="244"/>
      <c r="H156" s="244"/>
      <c r="I156" s="244"/>
      <c r="J156" s="244"/>
      <c r="K156" s="244"/>
      <c r="L156" s="244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25"/>
  <sheetViews>
    <sheetView topLeftCell="A7" workbookViewId="0">
      <selection activeCell="D10" sqref="D10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50"/>
      <c r="B1" s="1142" t="s">
        <v>159</v>
      </c>
      <c r="C1" s="1143"/>
      <c r="D1" s="1143"/>
      <c r="E1" s="151"/>
    </row>
    <row r="2" spans="1:5" x14ac:dyDescent="0.3">
      <c r="A2" s="150"/>
      <c r="B2" s="1144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Шевченка21</v>
      </c>
      <c r="C2" s="1144"/>
      <c r="D2" s="1144"/>
      <c r="E2" s="1144"/>
    </row>
    <row r="3" spans="1:5" ht="45.6" customHeight="1" x14ac:dyDescent="0.3">
      <c r="A3" s="152">
        <v>1</v>
      </c>
      <c r="B3" s="1140" t="s">
        <v>160</v>
      </c>
      <c r="C3" s="1141"/>
      <c r="D3" s="153"/>
      <c r="E3" s="154" t="s">
        <v>161</v>
      </c>
    </row>
    <row r="4" spans="1:5" ht="53.4" customHeight="1" x14ac:dyDescent="0.3">
      <c r="A4" s="152">
        <v>2</v>
      </c>
      <c r="B4" s="1140" t="s">
        <v>162</v>
      </c>
      <c r="C4" s="1141"/>
      <c r="D4" s="153"/>
      <c r="E4" s="154" t="s">
        <v>161</v>
      </c>
    </row>
    <row r="5" spans="1:5" ht="30" customHeight="1" x14ac:dyDescent="0.3">
      <c r="A5" s="152">
        <v>3</v>
      </c>
      <c r="B5" s="1140" t="s">
        <v>163</v>
      </c>
      <c r="C5" s="1141"/>
      <c r="D5" s="153"/>
      <c r="E5" s="154" t="s">
        <v>161</v>
      </c>
    </row>
    <row r="6" spans="1:5" ht="57.6" customHeight="1" x14ac:dyDescent="0.3">
      <c r="A6" s="152">
        <v>4</v>
      </c>
      <c r="B6" s="1140" t="s">
        <v>164</v>
      </c>
      <c r="C6" s="1141"/>
      <c r="D6" s="153"/>
      <c r="E6" s="154" t="s">
        <v>161</v>
      </c>
    </row>
    <row r="7" spans="1:5" x14ac:dyDescent="0.3">
      <c r="A7" s="152">
        <v>6</v>
      </c>
      <c r="B7" s="1140" t="s">
        <v>165</v>
      </c>
      <c r="C7" s="1141"/>
      <c r="D7" s="153">
        <f>[1]Таблица_Характеристика!J26</f>
        <v>0</v>
      </c>
      <c r="E7" s="154" t="s">
        <v>161</v>
      </c>
    </row>
    <row r="8" spans="1:5" x14ac:dyDescent="0.3">
      <c r="A8" s="152">
        <v>7</v>
      </c>
      <c r="B8" s="1140" t="s">
        <v>166</v>
      </c>
      <c r="C8" s="1141"/>
      <c r="D8" s="153"/>
      <c r="E8" s="154" t="s">
        <v>161</v>
      </c>
    </row>
    <row r="9" spans="1:5" x14ac:dyDescent="0.3">
      <c r="A9" s="152">
        <v>8</v>
      </c>
      <c r="B9" s="1140" t="s">
        <v>185</v>
      </c>
      <c r="C9" s="1141"/>
      <c r="D9" s="153">
        <v>500</v>
      </c>
      <c r="E9" s="154" t="s">
        <v>161</v>
      </c>
    </row>
    <row r="10" spans="1:5" ht="27.6" customHeight="1" x14ac:dyDescent="0.3">
      <c r="A10" s="152">
        <v>9</v>
      </c>
      <c r="B10" s="1140" t="s">
        <v>167</v>
      </c>
      <c r="C10" s="1141"/>
      <c r="D10" s="153">
        <f>[1]Таблица_Характеристика!J49+[1]Таблица_Характеристика!J50</f>
        <v>0</v>
      </c>
      <c r="E10" s="154" t="s">
        <v>161</v>
      </c>
    </row>
    <row r="11" spans="1:5" x14ac:dyDescent="0.3">
      <c r="A11" s="152">
        <v>10</v>
      </c>
      <c r="B11" s="1140" t="s">
        <v>169</v>
      </c>
      <c r="C11" s="1141"/>
      <c r="D11" s="155">
        <v>1100</v>
      </c>
      <c r="E11" s="154" t="s">
        <v>168</v>
      </c>
    </row>
    <row r="12" spans="1:5" x14ac:dyDescent="0.3">
      <c r="A12" s="152">
        <v>11</v>
      </c>
      <c r="B12" s="1140" t="s">
        <v>170</v>
      </c>
      <c r="C12" s="1141"/>
      <c r="D12" s="155">
        <v>5000</v>
      </c>
      <c r="E12" s="154" t="s">
        <v>168</v>
      </c>
    </row>
    <row r="13" spans="1:5" ht="28.2" customHeight="1" x14ac:dyDescent="0.3">
      <c r="A13" s="166">
        <v>12</v>
      </c>
      <c r="B13" s="1145" t="s">
        <v>171</v>
      </c>
      <c r="C13" s="1146"/>
      <c r="D13" s="156">
        <v>22</v>
      </c>
      <c r="E13" s="157" t="s">
        <v>172</v>
      </c>
    </row>
    <row r="14" spans="1:5" x14ac:dyDescent="0.3">
      <c r="A14" s="166">
        <v>13</v>
      </c>
      <c r="B14" s="158" t="s">
        <v>186</v>
      </c>
      <c r="C14" s="158"/>
      <c r="D14" s="156">
        <v>20</v>
      </c>
      <c r="E14" s="157" t="s">
        <v>172</v>
      </c>
    </row>
    <row r="15" spans="1:5" x14ac:dyDescent="0.3">
      <c r="A15" s="166">
        <v>14</v>
      </c>
      <c r="B15" s="159" t="s">
        <v>173</v>
      </c>
      <c r="C15" s="160"/>
      <c r="D15" s="156">
        <v>10</v>
      </c>
      <c r="E15" s="157" t="s">
        <v>172</v>
      </c>
    </row>
    <row r="16" spans="1:5" x14ac:dyDescent="0.3">
      <c r="A16" s="166">
        <v>15</v>
      </c>
      <c r="B16" s="1138" t="s">
        <v>174</v>
      </c>
      <c r="C16" s="1139"/>
      <c r="D16" s="161">
        <v>2019</v>
      </c>
      <c r="E16" s="157"/>
    </row>
    <row r="17" spans="1:5" x14ac:dyDescent="0.3">
      <c r="A17" s="166">
        <v>16</v>
      </c>
      <c r="B17" s="1138" t="s">
        <v>175</v>
      </c>
      <c r="C17" s="1139"/>
      <c r="D17" s="161">
        <v>250</v>
      </c>
      <c r="E17" s="157" t="s">
        <v>176</v>
      </c>
    </row>
    <row r="18" spans="1:5" x14ac:dyDescent="0.3">
      <c r="A18" s="166">
        <v>17</v>
      </c>
      <c r="B18" s="1138" t="s">
        <v>301</v>
      </c>
      <c r="C18" s="1139"/>
      <c r="D18" s="161">
        <v>302</v>
      </c>
      <c r="E18" s="157" t="s">
        <v>176</v>
      </c>
    </row>
    <row r="19" spans="1:5" x14ac:dyDescent="0.3">
      <c r="A19" s="166">
        <v>18</v>
      </c>
      <c r="B19" s="1138" t="s">
        <v>177</v>
      </c>
      <c r="C19" s="1139"/>
      <c r="D19" s="161">
        <v>1993</v>
      </c>
      <c r="E19" s="157" t="s">
        <v>178</v>
      </c>
    </row>
    <row r="20" spans="1:5" x14ac:dyDescent="0.3">
      <c r="A20" s="166">
        <v>19</v>
      </c>
      <c r="B20" s="1145" t="s">
        <v>179</v>
      </c>
      <c r="C20" s="1146"/>
      <c r="D20" s="156">
        <f>оклади!D26</f>
        <v>2032</v>
      </c>
      <c r="E20" s="157" t="s">
        <v>180</v>
      </c>
    </row>
    <row r="21" spans="1:5" x14ac:dyDescent="0.3">
      <c r="A21" s="166">
        <v>20</v>
      </c>
      <c r="B21" s="1145" t="s">
        <v>182</v>
      </c>
      <c r="C21" s="1146"/>
      <c r="D21" s="162">
        <v>0</v>
      </c>
      <c r="E21" s="157" t="s">
        <v>181</v>
      </c>
    </row>
    <row r="22" spans="1:5" x14ac:dyDescent="0.3">
      <c r="A22" s="166">
        <v>21</v>
      </c>
      <c r="B22" s="1145" t="s">
        <v>183</v>
      </c>
      <c r="C22" s="1146"/>
      <c r="D22" s="163">
        <f>Характеристика!L79</f>
        <v>1.4</v>
      </c>
      <c r="E22" s="157" t="s">
        <v>181</v>
      </c>
    </row>
    <row r="23" spans="1:5" x14ac:dyDescent="0.3">
      <c r="A23" s="166">
        <v>22</v>
      </c>
      <c r="B23" s="1146" t="s">
        <v>184</v>
      </c>
      <c r="C23" s="1146"/>
      <c r="D23" s="164">
        <v>295.14</v>
      </c>
      <c r="E23" s="165" t="s">
        <v>181</v>
      </c>
    </row>
    <row r="24" spans="1:5" x14ac:dyDescent="0.3">
      <c r="A24" s="166">
        <v>23</v>
      </c>
      <c r="B24" s="245" t="s">
        <v>748</v>
      </c>
      <c r="C24" s="245"/>
      <c r="D24" s="245">
        <v>263.83</v>
      </c>
      <c r="E24" s="157" t="s">
        <v>180</v>
      </c>
    </row>
    <row r="25" spans="1:5" x14ac:dyDescent="0.3">
      <c r="A25" s="166">
        <v>24</v>
      </c>
      <c r="B25" s="245" t="s">
        <v>908</v>
      </c>
      <c r="C25" s="245"/>
      <c r="D25" s="245">
        <v>0.64197000000000004</v>
      </c>
      <c r="E25" s="157" t="s">
        <v>180</v>
      </c>
    </row>
  </sheetData>
  <mergeCells count="21">
    <mergeCell ref="B23:C23"/>
    <mergeCell ref="B19:C19"/>
    <mergeCell ref="B20:C20"/>
    <mergeCell ref="B21:C21"/>
    <mergeCell ref="B22:C22"/>
    <mergeCell ref="B6:C6"/>
    <mergeCell ref="B11:C11"/>
    <mergeCell ref="B12:C12"/>
    <mergeCell ref="B13:C13"/>
    <mergeCell ref="B16:C16"/>
    <mergeCell ref="B1:D1"/>
    <mergeCell ref="B2:E2"/>
    <mergeCell ref="B3:C3"/>
    <mergeCell ref="B4:C4"/>
    <mergeCell ref="B5:C5"/>
    <mergeCell ref="B18:C18"/>
    <mergeCell ref="B7:C7"/>
    <mergeCell ref="B8:C8"/>
    <mergeCell ref="B9:C9"/>
    <mergeCell ref="B10:C10"/>
    <mergeCell ref="B17:C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topLeftCell="A25" zoomScaleNormal="100" workbookViewId="0">
      <selection activeCell="A7" sqref="A7:XFD8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33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918</v>
      </c>
      <c r="E1" s="654"/>
      <c r="F1" s="413"/>
    </row>
    <row r="2" spans="1:25" x14ac:dyDescent="0.3">
      <c r="D2" s="654" t="s">
        <v>919</v>
      </c>
      <c r="E2" s="654"/>
      <c r="F2" s="413"/>
    </row>
    <row r="3" spans="1:25" ht="54" customHeight="1" x14ac:dyDescent="0.3">
      <c r="A3" s="1150" t="s">
        <v>14</v>
      </c>
      <c r="B3" s="1150"/>
      <c r="C3" s="1150"/>
      <c r="D3" s="1150"/>
    </row>
    <row r="4" spans="1:25" x14ac:dyDescent="0.3">
      <c r="A4" s="251" t="str">
        <f>Характеристика!A6</f>
        <v>Адреса</v>
      </c>
      <c r="B4" s="414" t="str">
        <f>CONCATENATE(Характеристика!B6,  Характеристика!E6,Характеристика!L6)</f>
        <v>м. КанівШевченка21</v>
      </c>
      <c r="C4" s="414"/>
    </row>
    <row r="5" spans="1:25" ht="93.6" x14ac:dyDescent="0.3">
      <c r="A5" s="4" t="s">
        <v>13</v>
      </c>
      <c r="B5" s="415" t="s">
        <v>920</v>
      </c>
      <c r="C5" s="4" t="s">
        <v>922</v>
      </c>
      <c r="D5" s="4" t="s">
        <v>921</v>
      </c>
    </row>
    <row r="6" spans="1:25" s="417" customFormat="1" ht="53.4" customHeight="1" x14ac:dyDescent="0.3">
      <c r="A6" s="6">
        <v>1</v>
      </c>
      <c r="B6" s="415" t="s">
        <v>928</v>
      </c>
      <c r="C6" s="656">
        <f>'ТО внутріньобудин'!H16</f>
        <v>59725.510681580388</v>
      </c>
      <c r="D6" s="658">
        <f>'ТО внутріньобудин'!K18</f>
        <v>1.6919216405927517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6"/>
      <c r="W6" s="416"/>
      <c r="X6" s="416"/>
      <c r="Y6" s="416"/>
    </row>
    <row r="7" spans="1:25" s="417" customFormat="1" x14ac:dyDescent="0.3">
      <c r="A7" s="6">
        <v>2</v>
      </c>
      <c r="B7" s="5" t="s">
        <v>0</v>
      </c>
      <c r="C7" s="659">
        <f>ліфти!I13</f>
        <v>0</v>
      </c>
      <c r="D7" s="658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6"/>
      <c r="W7" s="416"/>
      <c r="X7" s="416"/>
      <c r="Y7" s="416"/>
    </row>
    <row r="8" spans="1:25" s="417" customFormat="1" x14ac:dyDescent="0.3">
      <c r="A8" s="6">
        <v>3</v>
      </c>
      <c r="B8" s="418" t="s">
        <v>1</v>
      </c>
      <c r="C8" s="656">
        <f>диспетчериз!G15</f>
        <v>0</v>
      </c>
      <c r="D8" s="658">
        <f>U19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6"/>
      <c r="W8" s="416"/>
      <c r="X8" s="416"/>
      <c r="Y8" s="416"/>
    </row>
    <row r="9" spans="1:25" s="417" customFormat="1" ht="17.399999999999999" customHeight="1" x14ac:dyDescent="0.3">
      <c r="A9" s="6">
        <v>4</v>
      </c>
      <c r="B9" s="418" t="s">
        <v>931</v>
      </c>
      <c r="C9" s="656">
        <f>вентканали!F23</f>
        <v>3040.2416257532859</v>
      </c>
      <c r="D9" s="658">
        <f>вентканали!F25</f>
        <v>8.6124826510557584E-2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6"/>
      <c r="W9" s="416"/>
      <c r="X9" s="416"/>
      <c r="Y9" s="416"/>
    </row>
    <row r="10" spans="1:25" s="417" customFormat="1" ht="65.400000000000006" customHeight="1" x14ac:dyDescent="0.3">
      <c r="A10" s="6">
        <v>5</v>
      </c>
      <c r="B10" s="418" t="s">
        <v>768</v>
      </c>
      <c r="C10" s="657">
        <f>0</f>
        <v>0</v>
      </c>
      <c r="D10" s="658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6"/>
      <c r="W10" s="416"/>
      <c r="X10" s="416"/>
      <c r="Y10" s="416"/>
    </row>
    <row r="11" spans="1:25" s="417" customFormat="1" ht="94.8" customHeight="1" x14ac:dyDescent="0.3">
      <c r="A11" s="6">
        <v>6</v>
      </c>
      <c r="B11" s="418" t="s">
        <v>929</v>
      </c>
      <c r="C11" s="656">
        <f>'поточ рем. констр.ел '!H15</f>
        <v>25136.552263768946</v>
      </c>
      <c r="D11" s="658">
        <f>'поточ рем. констр.ел '!H17</f>
        <v>0.71207669782124139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6"/>
      <c r="W11" s="416"/>
      <c r="X11" s="416"/>
      <c r="Y11" s="416"/>
    </row>
    <row r="12" spans="1:25" s="417" customFormat="1" ht="48" customHeight="1" x14ac:dyDescent="0.3">
      <c r="A12" s="6">
        <v>7</v>
      </c>
      <c r="B12" s="421" t="s">
        <v>932</v>
      </c>
      <c r="C12" s="656">
        <f>'поточ рем. внутр.б.мереж'!H15</f>
        <v>32044.403036900258</v>
      </c>
      <c r="D12" s="658">
        <f>'поточ рем. внутр.б.мереж'!H17</f>
        <v>0.90776430399939545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6"/>
      <c r="W12" s="416"/>
      <c r="X12" s="416"/>
      <c r="Y12" s="416"/>
    </row>
    <row r="13" spans="1:25" s="417" customFormat="1" ht="55.2" customHeight="1" x14ac:dyDescent="0.3">
      <c r="A13" s="6">
        <v>8</v>
      </c>
      <c r="B13" s="415" t="s">
        <v>3</v>
      </c>
      <c r="C13" s="657">
        <v>0</v>
      </c>
      <c r="D13" s="658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6"/>
      <c r="W13" s="416"/>
      <c r="X13" s="416"/>
      <c r="Y13" s="416"/>
    </row>
    <row r="14" spans="1:25" s="420" customFormat="1" ht="23.4" customHeight="1" x14ac:dyDescent="0.3">
      <c r="A14" s="6">
        <v>9</v>
      </c>
      <c r="B14" s="415" t="s">
        <v>4</v>
      </c>
      <c r="C14" s="656">
        <f>прибирання!G16</f>
        <v>45408.908069646306</v>
      </c>
      <c r="D14" s="658">
        <f>прибирання!G18</f>
        <v>1.286</v>
      </c>
      <c r="E14" s="407"/>
      <c r="F14" s="407"/>
      <c r="G14" s="407"/>
      <c r="H14" s="407"/>
      <c r="I14" s="407"/>
      <c r="J14" s="407"/>
      <c r="K14" s="407"/>
      <c r="L14" s="407"/>
      <c r="M14" s="407"/>
      <c r="N14" s="407"/>
      <c r="O14" s="407"/>
      <c r="P14" s="407"/>
      <c r="Q14" s="407"/>
      <c r="R14" s="407"/>
      <c r="S14" s="407"/>
      <c r="T14" s="407"/>
      <c r="U14" s="407"/>
      <c r="V14" s="419"/>
      <c r="W14" s="419"/>
      <c r="X14" s="419"/>
      <c r="Y14" s="419"/>
    </row>
    <row r="15" spans="1:25" s="417" customFormat="1" ht="30.6" customHeight="1" x14ac:dyDescent="0.3">
      <c r="A15" s="6">
        <v>10</v>
      </c>
      <c r="B15" s="418" t="s">
        <v>5</v>
      </c>
      <c r="C15" s="656">
        <f>сход.клітки!G16</f>
        <v>0</v>
      </c>
      <c r="D15" s="658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6"/>
      <c r="W15" s="416"/>
      <c r="X15" s="416"/>
      <c r="Y15" s="416"/>
    </row>
    <row r="16" spans="1:25" s="417" customFormat="1" ht="49.8" customHeight="1" x14ac:dyDescent="0.3">
      <c r="A16" s="6">
        <v>11</v>
      </c>
      <c r="B16" s="418" t="s">
        <v>933</v>
      </c>
      <c r="C16" s="656">
        <f>Сніг!G23</f>
        <v>6695.0507519422981</v>
      </c>
      <c r="D16" s="658">
        <f>Сніг!G25</f>
        <v>0.18965934527490622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6"/>
      <c r="W16" s="416"/>
      <c r="X16" s="416"/>
      <c r="Y16" s="416"/>
    </row>
    <row r="17" spans="1:25" s="417" customFormat="1" x14ac:dyDescent="0.3">
      <c r="A17" s="6">
        <v>12</v>
      </c>
      <c r="B17" s="5" t="s">
        <v>7</v>
      </c>
      <c r="C17" s="659">
        <f>дератизація!F13</f>
        <v>773.77363123913312</v>
      </c>
      <c r="D17" s="658">
        <f>дератизація!F15</f>
        <v>2.1919684514598508E-2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6"/>
      <c r="W17" s="416"/>
      <c r="X17" s="416"/>
      <c r="Y17" s="416"/>
    </row>
    <row r="18" spans="1:25" s="417" customFormat="1" x14ac:dyDescent="0.3">
      <c r="A18" s="6">
        <v>13</v>
      </c>
      <c r="B18" s="5" t="s">
        <v>8</v>
      </c>
      <c r="C18" s="660">
        <f>0</f>
        <v>0</v>
      </c>
      <c r="D18" s="658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6"/>
      <c r="W18" s="416"/>
      <c r="X18" s="416"/>
      <c r="Y18" s="416"/>
    </row>
    <row r="19" spans="1:25" s="417" customFormat="1" ht="64.2" customHeight="1" x14ac:dyDescent="0.3">
      <c r="A19" s="6">
        <v>14</v>
      </c>
      <c r="B19" s="418" t="s">
        <v>935</v>
      </c>
      <c r="C19" s="656">
        <f>освітлення!K13</f>
        <v>3305.2730368838129</v>
      </c>
      <c r="D19" s="658">
        <f>освітлення!K15</f>
        <v>9.3632736084684975E-2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6"/>
      <c r="W19" s="416"/>
      <c r="X19" s="416"/>
      <c r="Y19" s="416"/>
    </row>
    <row r="20" spans="1:25" s="12" customFormat="1" x14ac:dyDescent="0.3">
      <c r="A20" s="7">
        <v>15</v>
      </c>
      <c r="B20" s="9" t="s">
        <v>10</v>
      </c>
      <c r="C20" s="661">
        <f>ROUND((C6+C7+C8+C9+C10+C11+C12+C13+C14+C15+C16+C17+C18+C19)*розрахунок!D15/100,2)</f>
        <v>17612.97</v>
      </c>
      <c r="D20" s="662">
        <f>ROUND((D6+D7+D8+D9+D10+D11+D12+D13+D14+D15+D16+D17+D18+D19)*розрахунок!D15/100,3)</f>
        <v>0.499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11</v>
      </c>
      <c r="C21" s="661">
        <f>ROUND((C6+C7+C8+C9+C10+C11+C12+C13+C14+C15+C16+C17+C18+C19+C20)*0.2,2)</f>
        <v>38748.54</v>
      </c>
      <c r="D21" s="662">
        <f>ROUND((D6+D7+D8+D9+D10+D11+D12+D13+D14+D15+D16+D17+D18+D19+D20)*розрахунок!D14/100,3)</f>
        <v>1.0980000000000001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12</v>
      </c>
      <c r="C22" s="663">
        <f>SUM(C6:C21)</f>
        <v>232491.22309771445</v>
      </c>
      <c r="D22" s="670">
        <f>D21+D20+D19+D18+D17+D16+D15+D14+D13+D12+D11+D10+D9+D8+D7+D6</f>
        <v>6.5860992347981364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x14ac:dyDescent="0.3">
      <c r="A23" s="1152" t="s">
        <v>923</v>
      </c>
      <c r="B23" s="1152"/>
      <c r="C23" s="1152"/>
      <c r="D23" s="1152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s="12" customFormat="1" x14ac:dyDescent="0.3">
      <c r="A24" s="1153" t="s">
        <v>924</v>
      </c>
      <c r="B24" s="1153"/>
      <c r="C24" s="1153"/>
      <c r="D24" s="1153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s="12" customFormat="1" x14ac:dyDescent="0.3">
      <c r="A25" s="1153" t="s">
        <v>925</v>
      </c>
      <c r="B25" s="1153"/>
      <c r="C25" s="1153"/>
      <c r="D25" s="1153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1"/>
      <c r="W25" s="11"/>
      <c r="X25" s="11"/>
      <c r="Y25" s="11"/>
    </row>
    <row r="26" spans="1:25" s="12" customFormat="1" x14ac:dyDescent="0.3">
      <c r="A26" s="655" t="s">
        <v>926</v>
      </c>
      <c r="B26" s="655"/>
      <c r="C26" s="655"/>
      <c r="D26" s="655" t="s">
        <v>927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1"/>
      <c r="W26" s="11"/>
      <c r="X26" s="11"/>
      <c r="Y26" s="11"/>
    </row>
    <row r="30" spans="1:25" ht="125.4" customHeight="1" x14ac:dyDescent="0.3">
      <c r="A30" s="1149" t="s">
        <v>488</v>
      </c>
      <c r="B30" s="1151"/>
      <c r="C30" s="1151"/>
      <c r="D30" s="1151"/>
    </row>
    <row r="31" spans="1:25" ht="195" customHeight="1" x14ac:dyDescent="0.3">
      <c r="A31" s="1147" t="s">
        <v>297</v>
      </c>
      <c r="B31" s="1148"/>
      <c r="C31" s="1148"/>
      <c r="D31" s="1148"/>
    </row>
    <row r="32" spans="1:25" ht="109.2" customHeight="1" x14ac:dyDescent="0.3">
      <c r="A32" s="1149" t="s">
        <v>298</v>
      </c>
      <c r="B32" s="1149"/>
      <c r="C32" s="1149"/>
      <c r="D32" s="1149"/>
    </row>
  </sheetData>
  <mergeCells count="7">
    <mergeCell ref="A31:D31"/>
    <mergeCell ref="A32:D32"/>
    <mergeCell ref="A3:D3"/>
    <mergeCell ref="A30:D30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26" max="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10" zoomScaleNormal="100" workbookViewId="0">
      <selection activeCell="G16" sqref="G16:H16"/>
    </sheetView>
  </sheetViews>
  <sheetFormatPr defaultRowHeight="14.4" x14ac:dyDescent="0.3"/>
  <cols>
    <col min="3" max="3" width="16" customWidth="1"/>
  </cols>
  <sheetData>
    <row r="1" spans="1:10" x14ac:dyDescent="0.3">
      <c r="A1" s="1244" t="str">
        <f>CONCATENATE(кошторис!B4)</f>
        <v>м. КанівШевченка21</v>
      </c>
      <c r="B1" s="1245"/>
      <c r="C1" s="1245"/>
      <c r="D1" s="1103"/>
      <c r="E1" s="1103"/>
      <c r="F1" s="181"/>
      <c r="G1" s="1246" t="s">
        <v>214</v>
      </c>
      <c r="H1" s="1246"/>
      <c r="I1" s="1246"/>
      <c r="J1" s="1246"/>
    </row>
    <row r="2" spans="1:10" x14ac:dyDescent="0.3">
      <c r="A2" s="181"/>
      <c r="B2" s="181"/>
      <c r="C2" s="181"/>
      <c r="D2" s="181"/>
      <c r="E2" s="181"/>
      <c r="F2" s="181"/>
      <c r="G2" s="1246" t="s">
        <v>108</v>
      </c>
      <c r="H2" s="1246"/>
      <c r="I2" s="1246"/>
      <c r="J2" s="1246"/>
    </row>
    <row r="3" spans="1:10" x14ac:dyDescent="0.3">
      <c r="A3" s="181"/>
      <c r="B3" s="181"/>
      <c r="C3" s="181"/>
      <c r="D3" s="181"/>
      <c r="E3" s="181"/>
      <c r="F3" s="181"/>
      <c r="G3" s="1247" t="s">
        <v>638</v>
      </c>
      <c r="H3" s="1247"/>
      <c r="I3" s="1247"/>
      <c r="J3" s="1247"/>
    </row>
    <row r="4" spans="1:10" x14ac:dyDescent="0.3">
      <c r="A4" s="181"/>
      <c r="B4" s="181"/>
      <c r="C4" s="181"/>
      <c r="D4" s="181"/>
      <c r="E4" s="181"/>
      <c r="F4" s="181"/>
      <c r="G4" s="252"/>
      <c r="H4" s="253"/>
      <c r="I4" s="1248" t="s">
        <v>296</v>
      </c>
      <c r="J4" s="1248"/>
    </row>
    <row r="5" spans="1:10" x14ac:dyDescent="0.3">
      <c r="A5" s="181"/>
      <c r="B5" s="181"/>
      <c r="C5" s="181"/>
      <c r="D5" s="181"/>
      <c r="E5" s="181"/>
      <c r="F5" s="181"/>
      <c r="G5" s="1246"/>
      <c r="H5" s="1246"/>
      <c r="I5" s="1246"/>
      <c r="J5" s="1246"/>
    </row>
    <row r="6" spans="1:10" x14ac:dyDescent="0.3">
      <c r="A6" s="1249" t="s">
        <v>300</v>
      </c>
      <c r="B6" s="1249"/>
      <c r="C6" s="1249"/>
      <c r="D6" s="1249"/>
      <c r="E6" s="1249"/>
      <c r="F6" s="1249"/>
      <c r="G6" s="1249"/>
      <c r="H6" s="1249"/>
      <c r="I6" s="1249"/>
      <c r="J6" s="1249"/>
    </row>
    <row r="7" spans="1:10" x14ac:dyDescent="0.3">
      <c r="A7" s="1249" t="s">
        <v>215</v>
      </c>
      <c r="B7" s="1249"/>
      <c r="C7" s="1249"/>
      <c r="D7" s="1249"/>
      <c r="E7" s="1249"/>
      <c r="F7" s="1249"/>
      <c r="G7" s="1249"/>
      <c r="H7" s="1249"/>
      <c r="I7" s="1249"/>
      <c r="J7" s="1249"/>
    </row>
    <row r="8" spans="1:10" x14ac:dyDescent="0.3">
      <c r="A8" s="182"/>
      <c r="B8" s="183"/>
      <c r="C8" s="183"/>
      <c r="D8" s="183"/>
      <c r="E8" s="182"/>
      <c r="F8" s="182"/>
      <c r="G8" s="182"/>
      <c r="H8" s="182"/>
      <c r="I8" s="182"/>
      <c r="J8" s="182"/>
    </row>
    <row r="9" spans="1:10" ht="17.399999999999999" customHeight="1" x14ac:dyDescent="0.3">
      <c r="A9" s="1250" t="s">
        <v>299</v>
      </c>
      <c r="B9" s="1250"/>
      <c r="C9" s="1250"/>
      <c r="D9" s="1250"/>
      <c r="E9" s="1250"/>
      <c r="F9" s="1250"/>
      <c r="G9" s="1250"/>
      <c r="H9" s="1250"/>
      <c r="I9" s="1250"/>
      <c r="J9" s="1250"/>
    </row>
    <row r="10" spans="1:10" ht="26.4" x14ac:dyDescent="0.3">
      <c r="A10" s="184" t="s">
        <v>216</v>
      </c>
      <c r="B10" s="1242" t="s">
        <v>217</v>
      </c>
      <c r="C10" s="1224"/>
      <c r="D10" s="1224"/>
      <c r="E10" s="1224"/>
      <c r="F10" s="184" t="s">
        <v>218</v>
      </c>
      <c r="G10" s="1242" t="s">
        <v>219</v>
      </c>
      <c r="H10" s="1224"/>
      <c r="I10" s="1242" t="s">
        <v>220</v>
      </c>
      <c r="J10" s="1243"/>
    </row>
    <row r="11" spans="1:10" x14ac:dyDescent="0.3">
      <c r="A11" s="184">
        <v>1</v>
      </c>
      <c r="B11" s="1230" t="s">
        <v>303</v>
      </c>
      <c r="C11" s="1141"/>
      <c r="D11" s="1141"/>
      <c r="E11" s="1141"/>
      <c r="F11" s="261" t="s">
        <v>181</v>
      </c>
      <c r="G11" s="1232">
        <f>I11*12</f>
        <v>22275.520780732564</v>
      </c>
      <c r="H11" s="1233"/>
      <c r="I11" s="1232">
        <f>I43+I44</f>
        <v>1856.2933983943803</v>
      </c>
      <c r="J11" s="1239"/>
    </row>
    <row r="12" spans="1:10" ht="28.2" customHeight="1" x14ac:dyDescent="0.3">
      <c r="A12" s="184">
        <v>2</v>
      </c>
      <c r="B12" s="1240" t="s">
        <v>304</v>
      </c>
      <c r="C12" s="1241"/>
      <c r="D12" s="1241"/>
      <c r="E12" s="1241"/>
      <c r="F12" s="261" t="s">
        <v>181</v>
      </c>
      <c r="G12" s="1232">
        <f>I12*12</f>
        <v>4900.5599999999995</v>
      </c>
      <c r="H12" s="1233"/>
      <c r="I12" s="1232">
        <f>ROUND(I11*розрахунок!D13/100,2)</f>
        <v>408.38</v>
      </c>
      <c r="J12" s="1239"/>
    </row>
    <row r="13" spans="1:10" x14ac:dyDescent="0.3">
      <c r="A13" s="184">
        <v>3</v>
      </c>
      <c r="B13" s="1230" t="s">
        <v>305</v>
      </c>
      <c r="C13" s="1231"/>
      <c r="D13" s="1231"/>
      <c r="E13" s="1231"/>
      <c r="F13" s="261" t="s">
        <v>181</v>
      </c>
      <c r="G13" s="1232">
        <f>I13*12</f>
        <v>17026.478164202257</v>
      </c>
      <c r="H13" s="1233"/>
      <c r="I13" s="1232">
        <f>I51</f>
        <v>1418.8731803501882</v>
      </c>
      <c r="J13" s="1239"/>
    </row>
    <row r="14" spans="1:10" x14ac:dyDescent="0.3">
      <c r="A14" s="184">
        <v>4</v>
      </c>
      <c r="B14" s="1230" t="s">
        <v>490</v>
      </c>
      <c r="C14" s="1231"/>
      <c r="D14" s="1231"/>
      <c r="E14" s="1231"/>
      <c r="F14" s="261" t="s">
        <v>181</v>
      </c>
      <c r="G14" s="1232">
        <f>I14*12</f>
        <v>1206.3491247114903</v>
      </c>
      <c r="H14" s="1233"/>
      <c r="I14" s="1232">
        <f>інвентар!I7+інвентар!I12</f>
        <v>100.52909372595752</v>
      </c>
      <c r="J14" s="1239"/>
    </row>
    <row r="15" spans="1:10" x14ac:dyDescent="0.3">
      <c r="A15" s="184">
        <v>5</v>
      </c>
      <c r="B15" s="1230" t="s">
        <v>491</v>
      </c>
      <c r="C15" s="1231"/>
      <c r="D15" s="1231"/>
      <c r="E15" s="1231"/>
      <c r="F15" s="261" t="s">
        <v>181</v>
      </c>
      <c r="G15" s="1232">
        <f>I15*12</f>
        <v>0</v>
      </c>
      <c r="H15" s="1233"/>
      <c r="I15" s="1234">
        <f>Характеристика!D9/12</f>
        <v>0</v>
      </c>
      <c r="J15" s="1210"/>
    </row>
    <row r="16" spans="1:10" x14ac:dyDescent="0.3">
      <c r="A16" s="184">
        <v>6</v>
      </c>
      <c r="B16" s="1223" t="s">
        <v>221</v>
      </c>
      <c r="C16" s="1235"/>
      <c r="D16" s="1235"/>
      <c r="E16" s="1235"/>
      <c r="F16" s="184" t="s">
        <v>181</v>
      </c>
      <c r="G16" s="1236">
        <f>SUM(G11:G15)</f>
        <v>45408.908069646306</v>
      </c>
      <c r="H16" s="1237"/>
      <c r="I16" s="1236">
        <f>SUM(I11:I15)</f>
        <v>3784.0756724705261</v>
      </c>
      <c r="J16" s="1238"/>
    </row>
    <row r="17" spans="1:10" ht="22.8" customHeight="1" x14ac:dyDescent="0.3">
      <c r="A17" s="184">
        <v>7</v>
      </c>
      <c r="B17" s="1218" t="str">
        <f>Характеристика!A18</f>
        <v>Загальна площа будинку</v>
      </c>
      <c r="C17" s="1219"/>
      <c r="D17" s="1219"/>
      <c r="E17" s="1219"/>
      <c r="F17" s="184" t="s">
        <v>223</v>
      </c>
      <c r="G17" s="1220">
        <f>Характеристика!N18</f>
        <v>2941.7</v>
      </c>
      <c r="H17" s="1221"/>
      <c r="I17" s="1221"/>
      <c r="J17" s="1222"/>
    </row>
    <row r="18" spans="1:10" x14ac:dyDescent="0.3">
      <c r="A18" s="184">
        <v>8</v>
      </c>
      <c r="B18" s="1223" t="s">
        <v>492</v>
      </c>
      <c r="C18" s="1224"/>
      <c r="D18" s="1224"/>
      <c r="E18" s="1224"/>
      <c r="F18" s="184" t="s">
        <v>181</v>
      </c>
      <c r="G18" s="1225">
        <f>ROUND(I16/G17,3)</f>
        <v>1.286</v>
      </c>
      <c r="H18" s="1226"/>
      <c r="I18" s="1227"/>
      <c r="J18" s="1228"/>
    </row>
    <row r="19" spans="1:10" x14ac:dyDescent="0.3">
      <c r="A19" s="185"/>
      <c r="B19" s="186"/>
      <c r="C19" s="151"/>
      <c r="D19" s="151"/>
      <c r="E19" s="151"/>
      <c r="F19" s="185"/>
      <c r="G19" s="187"/>
      <c r="H19" s="187"/>
      <c r="I19" s="188"/>
      <c r="J19" s="188"/>
    </row>
    <row r="20" spans="1:10" x14ac:dyDescent="0.3">
      <c r="A20" s="183" t="s">
        <v>224</v>
      </c>
      <c r="B20" s="181"/>
      <c r="C20" s="181"/>
      <c r="D20" s="181"/>
      <c r="E20" s="181"/>
      <c r="F20" s="181"/>
      <c r="G20" s="187"/>
      <c r="H20" s="187"/>
      <c r="I20" s="188"/>
      <c r="J20" s="188"/>
    </row>
    <row r="21" spans="1:10" ht="42" customHeight="1" x14ac:dyDescent="0.3">
      <c r="A21" s="1229" t="s">
        <v>225</v>
      </c>
      <c r="B21" s="1229"/>
      <c r="C21" s="1229"/>
      <c r="D21" s="1229"/>
      <c r="E21" s="1229"/>
      <c r="F21" s="1229"/>
      <c r="G21" s="1229"/>
      <c r="H21" s="1229"/>
      <c r="I21" s="1229"/>
      <c r="J21" s="1229"/>
    </row>
    <row r="22" spans="1:10" ht="23.4" customHeight="1" x14ac:dyDescent="0.3">
      <c r="A22" s="1199" t="s">
        <v>287</v>
      </c>
      <c r="B22" s="1200"/>
      <c r="C22" s="1200"/>
      <c r="D22" s="1200"/>
      <c r="E22" s="1200"/>
      <c r="F22" s="1200"/>
      <c r="G22" s="1200"/>
      <c r="H22" s="1200"/>
      <c r="I22" s="1200"/>
      <c r="J22" s="1200"/>
    </row>
    <row r="23" spans="1:10" x14ac:dyDescent="0.3">
      <c r="A23" s="1211" t="s">
        <v>270</v>
      </c>
      <c r="B23" s="1212"/>
      <c r="C23" s="1212"/>
      <c r="D23" s="1212"/>
      <c r="E23" s="1213" t="s">
        <v>226</v>
      </c>
      <c r="F23" s="1213"/>
      <c r="G23" s="189">
        <f>розрахунок!D18</f>
        <v>302</v>
      </c>
      <c r="H23" s="1213" t="s">
        <v>227</v>
      </c>
      <c r="I23" s="1213"/>
      <c r="J23" s="189">
        <f>розрахунок!D19</f>
        <v>1993</v>
      </c>
    </row>
    <row r="24" spans="1:10" x14ac:dyDescent="0.3">
      <c r="A24" s="190" t="s">
        <v>228</v>
      </c>
      <c r="B24" s="1214" t="s">
        <v>229</v>
      </c>
      <c r="C24" s="1214"/>
      <c r="D24" s="1214"/>
      <c r="E24" s="1214"/>
      <c r="F24" s="1214"/>
      <c r="G24" s="191"/>
      <c r="H24" s="191"/>
      <c r="I24" s="191"/>
      <c r="J24" s="192"/>
    </row>
    <row r="25" spans="1:10" ht="91.8" x14ac:dyDescent="0.3">
      <c r="A25" s="193" t="s">
        <v>230</v>
      </c>
      <c r="B25" s="1215" t="s">
        <v>231</v>
      </c>
      <c r="C25" s="1216"/>
      <c r="D25" s="194" t="s">
        <v>232</v>
      </c>
      <c r="E25" s="195" t="s">
        <v>233</v>
      </c>
      <c r="F25" s="1217" t="s">
        <v>234</v>
      </c>
      <c r="G25" s="1216"/>
      <c r="H25" s="196" t="s">
        <v>235</v>
      </c>
      <c r="I25" s="197" t="s">
        <v>236</v>
      </c>
      <c r="J25" s="197" t="s">
        <v>237</v>
      </c>
    </row>
    <row r="26" spans="1:10" x14ac:dyDescent="0.3">
      <c r="A26" s="198">
        <v>1</v>
      </c>
      <c r="B26" s="1204">
        <v>2</v>
      </c>
      <c r="C26" s="1205"/>
      <c r="D26" s="199">
        <v>3</v>
      </c>
      <c r="E26" s="199">
        <v>4</v>
      </c>
      <c r="F26" s="1206">
        <v>5</v>
      </c>
      <c r="G26" s="1207"/>
      <c r="H26" s="199">
        <v>6</v>
      </c>
      <c r="I26" s="199">
        <v>7</v>
      </c>
      <c r="J26" s="199">
        <v>8</v>
      </c>
    </row>
    <row r="27" spans="1:10" x14ac:dyDescent="0.3">
      <c r="A27" s="200" t="s">
        <v>102</v>
      </c>
      <c r="B27" s="1201" t="s">
        <v>238</v>
      </c>
      <c r="C27" s="1208"/>
      <c r="D27" s="1202"/>
      <c r="E27" s="1202"/>
      <c r="F27" s="1202"/>
      <c r="G27" s="1202"/>
      <c r="H27" s="1202"/>
      <c r="I27" s="1202"/>
      <c r="J27" s="1203"/>
    </row>
    <row r="28" spans="1:10" s="258" customFormat="1" ht="25.8" customHeight="1" x14ac:dyDescent="0.3">
      <c r="A28" s="200"/>
      <c r="B28" s="1181" t="s">
        <v>302</v>
      </c>
      <c r="C28" s="1209"/>
      <c r="D28" s="254">
        <f>Характеристика!H41</f>
        <v>500</v>
      </c>
      <c r="E28" s="255">
        <v>282</v>
      </c>
      <c r="F28" s="1197">
        <v>0.2</v>
      </c>
      <c r="G28" s="1210"/>
      <c r="H28" s="254">
        <f t="shared" ref="H28" si="0">(D28/100)*F28*E28</f>
        <v>282</v>
      </c>
      <c r="I28" s="256">
        <v>21</v>
      </c>
      <c r="J28" s="257" t="s">
        <v>239</v>
      </c>
    </row>
    <row r="29" spans="1:10" x14ac:dyDescent="0.3">
      <c r="A29" s="200" t="s">
        <v>240</v>
      </c>
      <c r="B29" s="1201" t="s">
        <v>250</v>
      </c>
      <c r="C29" s="1202"/>
      <c r="D29" s="1202"/>
      <c r="E29" s="1202"/>
      <c r="F29" s="1202"/>
      <c r="G29" s="1203"/>
      <c r="H29" s="205"/>
      <c r="I29" s="206"/>
      <c r="J29" s="207"/>
    </row>
    <row r="30" spans="1:10" hidden="1" x14ac:dyDescent="0.3">
      <c r="A30" s="200"/>
      <c r="B30" s="1181" t="s">
        <v>251</v>
      </c>
      <c r="C30" s="1182"/>
      <c r="D30" s="208"/>
      <c r="E30" s="209"/>
      <c r="F30" s="1183">
        <v>0.28000000000000003</v>
      </c>
      <c r="G30" s="1184"/>
      <c r="H30" s="201">
        <f>D30/100*F30*E30</f>
        <v>0</v>
      </c>
      <c r="I30" s="210" t="s">
        <v>252</v>
      </c>
      <c r="J30" s="211" t="s">
        <v>253</v>
      </c>
    </row>
    <row r="31" spans="1:10" x14ac:dyDescent="0.3">
      <c r="A31" s="200"/>
      <c r="B31" s="1181" t="s">
        <v>254</v>
      </c>
      <c r="C31" s="1182"/>
      <c r="D31" s="208">
        <f>Характеристика!L49</f>
        <v>2500</v>
      </c>
      <c r="E31" s="209">
        <v>2</v>
      </c>
      <c r="F31" s="1183">
        <v>0.42</v>
      </c>
      <c r="G31" s="1184"/>
      <c r="H31" s="201">
        <f>D31/100*F31*E31</f>
        <v>21</v>
      </c>
      <c r="I31" s="210" t="s">
        <v>252</v>
      </c>
      <c r="J31" s="211"/>
    </row>
    <row r="32" spans="1:10" x14ac:dyDescent="0.3">
      <c r="A32" s="200" t="s">
        <v>244</v>
      </c>
      <c r="B32" s="1185" t="s">
        <v>255</v>
      </c>
      <c r="C32" s="1141"/>
      <c r="D32" s="1141"/>
      <c r="E32" s="1141"/>
      <c r="F32" s="1141"/>
      <c r="G32" s="1141"/>
      <c r="H32" s="212"/>
      <c r="I32" s="212"/>
      <c r="J32" s="212"/>
    </row>
    <row r="33" spans="1:10" ht="23.4" customHeight="1" x14ac:dyDescent="0.3">
      <c r="A33" s="213"/>
      <c r="B33" s="1192" t="s">
        <v>256</v>
      </c>
      <c r="C33" s="1193"/>
      <c r="D33" s="201">
        <f>Характеристика!H47</f>
        <v>3500</v>
      </c>
      <c r="E33" s="202">
        <v>52</v>
      </c>
      <c r="F33" s="1183">
        <v>0.13</v>
      </c>
      <c r="G33" s="1194"/>
      <c r="H33" s="201">
        <f>D33/100*F33*E33</f>
        <v>236.6</v>
      </c>
      <c r="I33" s="203">
        <v>34</v>
      </c>
      <c r="J33" s="204" t="s">
        <v>257</v>
      </c>
    </row>
    <row r="34" spans="1:10" s="260" customFormat="1" ht="45.6" customHeight="1" x14ac:dyDescent="0.3">
      <c r="A34" s="259" t="s">
        <v>245</v>
      </c>
      <c r="B34" s="1195" t="s">
        <v>258</v>
      </c>
      <c r="C34" s="1196"/>
      <c r="D34" s="254">
        <f>Характеристика!N50</f>
        <v>16</v>
      </c>
      <c r="E34" s="255">
        <v>1</v>
      </c>
      <c r="F34" s="1197">
        <v>3.8</v>
      </c>
      <c r="G34" s="1198"/>
      <c r="H34" s="254">
        <f>D34*E34*F34</f>
        <v>60.8</v>
      </c>
      <c r="I34" s="256">
        <v>39</v>
      </c>
      <c r="J34" s="243" t="s">
        <v>259</v>
      </c>
    </row>
    <row r="35" spans="1:10" x14ac:dyDescent="0.3">
      <c r="A35" s="214" t="s">
        <v>260</v>
      </c>
      <c r="B35" s="1188" t="s">
        <v>261</v>
      </c>
      <c r="C35" s="1189"/>
      <c r="D35" s="215">
        <v>0</v>
      </c>
      <c r="E35" s="216">
        <v>52</v>
      </c>
      <c r="F35" s="1190">
        <v>0.37</v>
      </c>
      <c r="G35" s="1191"/>
      <c r="H35" s="201">
        <f>F35/10*D35*E35</f>
        <v>0</v>
      </c>
      <c r="I35" s="217">
        <v>36</v>
      </c>
      <c r="J35" s="218" t="s">
        <v>262</v>
      </c>
    </row>
    <row r="36" spans="1:10" ht="28.2" customHeight="1" x14ac:dyDescent="0.3">
      <c r="A36" s="214" t="s">
        <v>263</v>
      </c>
      <c r="B36" s="1188" t="s">
        <v>264</v>
      </c>
      <c r="C36" s="1189"/>
      <c r="D36" s="215">
        <v>17</v>
      </c>
      <c r="E36" s="216">
        <v>282</v>
      </c>
      <c r="F36" s="1183">
        <v>0.24</v>
      </c>
      <c r="G36" s="1184"/>
      <c r="H36" s="201">
        <f>F36/10*D36*E36</f>
        <v>115.05600000000001</v>
      </c>
      <c r="I36" s="217">
        <v>52</v>
      </c>
      <c r="J36" s="218" t="s">
        <v>265</v>
      </c>
    </row>
    <row r="37" spans="1:10" x14ac:dyDescent="0.3">
      <c r="A37" s="219"/>
      <c r="B37" s="1173" t="s">
        <v>266</v>
      </c>
      <c r="C37" s="1174"/>
      <c r="D37" s="220"/>
      <c r="E37" s="221"/>
      <c r="F37" s="1175"/>
      <c r="G37" s="1175"/>
      <c r="H37" s="222">
        <f>SUM(H27:H36)</f>
        <v>715.45600000000002</v>
      </c>
      <c r="I37" s="223"/>
      <c r="J37" s="224"/>
    </row>
    <row r="38" spans="1:10" ht="26.4" customHeight="1" x14ac:dyDescent="0.3">
      <c r="A38" s="1176" t="s">
        <v>267</v>
      </c>
      <c r="B38" s="1177"/>
      <c r="C38" s="1178"/>
      <c r="D38" s="1179"/>
      <c r="E38" s="1178"/>
      <c r="F38" s="1179"/>
      <c r="G38" s="1177"/>
      <c r="H38" s="1177"/>
      <c r="I38" s="1177"/>
      <c r="J38" s="1178"/>
    </row>
    <row r="39" spans="1:10" x14ac:dyDescent="0.3">
      <c r="A39" s="225"/>
      <c r="B39" s="226"/>
      <c r="C39" s="226"/>
      <c r="D39" s="225"/>
      <c r="E39" s="225"/>
      <c r="F39" s="225"/>
      <c r="G39" s="225"/>
      <c r="H39" s="227"/>
      <c r="I39" s="228"/>
      <c r="J39" s="228"/>
    </row>
    <row r="40" spans="1:10" x14ac:dyDescent="0.3">
      <c r="A40" s="1164" t="s">
        <v>268</v>
      </c>
      <c r="B40" s="1180"/>
      <c r="C40" s="1180"/>
      <c r="D40" s="1180"/>
      <c r="E40" s="1180"/>
      <c r="F40" s="1180"/>
      <c r="G40" s="1180"/>
      <c r="H40" s="1180"/>
      <c r="I40" s="1180"/>
      <c r="J40" s="1180"/>
    </row>
    <row r="41" spans="1:10" ht="72" x14ac:dyDescent="0.3">
      <c r="A41" s="1186" t="s">
        <v>190</v>
      </c>
      <c r="B41" s="1168"/>
      <c r="C41" s="229" t="s">
        <v>269</v>
      </c>
      <c r="D41" s="230" t="s">
        <v>270</v>
      </c>
      <c r="E41" s="231" t="s">
        <v>271</v>
      </c>
      <c r="F41" s="232" t="s">
        <v>272</v>
      </c>
      <c r="G41" s="232" t="s">
        <v>273</v>
      </c>
      <c r="H41" s="231" t="s">
        <v>274</v>
      </c>
      <c r="I41" s="1167" t="s">
        <v>275</v>
      </c>
      <c r="J41" s="1187"/>
    </row>
    <row r="42" spans="1:10" x14ac:dyDescent="0.3">
      <c r="A42" s="1167">
        <v>1</v>
      </c>
      <c r="B42" s="1168"/>
      <c r="C42" s="230">
        <v>2</v>
      </c>
      <c r="D42" s="233">
        <v>3</v>
      </c>
      <c r="E42" s="233">
        <v>4</v>
      </c>
      <c r="F42" s="233">
        <v>5</v>
      </c>
      <c r="G42" s="234"/>
      <c r="H42" s="233">
        <v>6</v>
      </c>
      <c r="I42" s="1169">
        <v>7</v>
      </c>
      <c r="J42" s="1170"/>
    </row>
    <row r="43" spans="1:10" x14ac:dyDescent="0.3">
      <c r="A43" s="1161" t="s">
        <v>197</v>
      </c>
      <c r="B43" s="833"/>
      <c r="C43" s="235">
        <f>H37-H31</f>
        <v>694.45600000000002</v>
      </c>
      <c r="D43" s="236">
        <f>J23</f>
        <v>1993</v>
      </c>
      <c r="E43" s="201">
        <f>ROUND(C43/D43,2)</f>
        <v>0.35</v>
      </c>
      <c r="F43" s="201">
        <f>оклади!K7</f>
        <v>4173</v>
      </c>
      <c r="G43" s="208">
        <f>E43*F43</f>
        <v>1460.55</v>
      </c>
      <c r="H43" s="201">
        <f>G43*0.13</f>
        <v>189.8715</v>
      </c>
      <c r="I43" s="1171">
        <f>G43*1.09+H43</f>
        <v>1781.8710000000001</v>
      </c>
      <c r="J43" s="1172"/>
    </row>
    <row r="44" spans="1:10" ht="23.4" customHeight="1" x14ac:dyDescent="0.3">
      <c r="A44" s="1161" t="s">
        <v>199</v>
      </c>
      <c r="B44" s="1161"/>
      <c r="C44" s="235">
        <f>H31</f>
        <v>21</v>
      </c>
      <c r="D44" s="236">
        <f>J23</f>
        <v>1993</v>
      </c>
      <c r="E44" s="237">
        <f>C44/D44</f>
        <v>1.0536879076768691E-2</v>
      </c>
      <c r="F44" s="201">
        <f>оклади!K8</f>
        <v>5696</v>
      </c>
      <c r="G44" s="208">
        <f>E44*F44</f>
        <v>60.018063221274467</v>
      </c>
      <c r="H44" s="201">
        <f>G44*0.15</f>
        <v>9.00270948319117</v>
      </c>
      <c r="I44" s="1162">
        <f>G44*1.09+H44</f>
        <v>74.422398394380338</v>
      </c>
      <c r="J44" s="1163"/>
    </row>
    <row r="45" spans="1:10" x14ac:dyDescent="0.3">
      <c r="A45" s="238"/>
      <c r="B45" s="37"/>
      <c r="C45" s="239"/>
      <c r="D45" s="240"/>
      <c r="E45" s="240"/>
      <c r="F45" s="240"/>
      <c r="G45" s="241"/>
      <c r="H45" s="240"/>
      <c r="I45" s="240"/>
      <c r="J45" s="242"/>
    </row>
    <row r="46" spans="1:10" x14ac:dyDescent="0.3">
      <c r="A46" s="1164" t="s">
        <v>276</v>
      </c>
      <c r="B46" s="1164"/>
      <c r="C46" s="1164"/>
      <c r="D46" s="1164"/>
      <c r="E46" s="1164"/>
      <c r="F46" s="1164"/>
      <c r="G46" s="1164"/>
      <c r="H46" s="1164"/>
      <c r="I46" s="1164"/>
      <c r="J46" s="1164"/>
    </row>
    <row r="47" spans="1:10" ht="83.4" x14ac:dyDescent="0.3">
      <c r="A47" s="1155" t="s">
        <v>277</v>
      </c>
      <c r="B47" s="1165"/>
      <c r="C47" s="231" t="s">
        <v>278</v>
      </c>
      <c r="D47" s="231" t="s">
        <v>279</v>
      </c>
      <c r="E47" s="1155" t="s">
        <v>280</v>
      </c>
      <c r="F47" s="1166"/>
      <c r="G47" s="1155" t="s">
        <v>281</v>
      </c>
      <c r="H47" s="770"/>
      <c r="I47" s="1155" t="s">
        <v>282</v>
      </c>
      <c r="J47" s="770"/>
    </row>
    <row r="48" spans="1:10" x14ac:dyDescent="0.3">
      <c r="A48" s="1155">
        <v>1</v>
      </c>
      <c r="B48" s="1165"/>
      <c r="C48" s="231">
        <v>2</v>
      </c>
      <c r="D48" s="231">
        <v>3</v>
      </c>
      <c r="E48" s="1155">
        <v>4</v>
      </c>
      <c r="F48" s="1166"/>
      <c r="G48" s="1155">
        <v>5</v>
      </c>
      <c r="H48" s="770"/>
      <c r="I48" s="1155">
        <v>6</v>
      </c>
      <c r="J48" s="770"/>
    </row>
    <row r="49" spans="1:10" ht="45" customHeight="1" x14ac:dyDescent="0.3">
      <c r="A49" s="1155" t="s">
        <v>283</v>
      </c>
      <c r="B49" s="1155"/>
      <c r="C49" s="404">
        <v>1782768</v>
      </c>
      <c r="D49" s="243">
        <v>4193729</v>
      </c>
      <c r="E49" s="1156">
        <f>C49/D49*100</f>
        <v>42.51032911282536</v>
      </c>
      <c r="F49" s="761"/>
      <c r="G49" s="1157">
        <f>I43+I44</f>
        <v>1856.2933983943803</v>
      </c>
      <c r="H49" s="770"/>
      <c r="I49" s="1157">
        <f>E49*G49/100</f>
        <v>789.11643295710155</v>
      </c>
      <c r="J49" s="770"/>
    </row>
    <row r="50" spans="1:10" ht="33" customHeight="1" x14ac:dyDescent="0.3">
      <c r="A50" s="1155" t="s">
        <v>284</v>
      </c>
      <c r="B50" s="1155"/>
      <c r="C50" s="404">
        <v>2914645</v>
      </c>
      <c r="D50" s="243">
        <v>14598843</v>
      </c>
      <c r="E50" s="1156">
        <f>C50/D50*100</f>
        <v>19.964904068082657</v>
      </c>
      <c r="F50" s="761"/>
      <c r="G50" s="1157">
        <f>I11+I12+I14+I15+I49</f>
        <v>3154.3189250774394</v>
      </c>
      <c r="H50" s="770"/>
      <c r="I50" s="1157">
        <f>E50*G50/100</f>
        <v>629.75674739308681</v>
      </c>
      <c r="J50" s="770"/>
    </row>
    <row r="51" spans="1:10" ht="37.200000000000003" customHeight="1" x14ac:dyDescent="0.3">
      <c r="A51" s="1158" t="s">
        <v>285</v>
      </c>
      <c r="B51" s="1158"/>
      <c r="C51" s="405"/>
      <c r="D51" s="406"/>
      <c r="E51" s="1159"/>
      <c r="F51" s="761"/>
      <c r="G51" s="1160"/>
      <c r="H51" s="770"/>
      <c r="I51" s="1160">
        <f>SUM(I49:I50)</f>
        <v>1418.8731803501882</v>
      </c>
      <c r="J51" s="770"/>
    </row>
    <row r="52" spans="1:10" x14ac:dyDescent="0.3">
      <c r="A52" s="151"/>
      <c r="B52" s="151"/>
      <c r="C52" s="151"/>
      <c r="D52" s="151"/>
      <c r="E52" s="151"/>
      <c r="F52" s="151"/>
      <c r="G52" s="151"/>
      <c r="H52" s="151"/>
      <c r="I52" s="151"/>
      <c r="J52" s="151"/>
    </row>
    <row r="53" spans="1:10" ht="32.4" customHeight="1" x14ac:dyDescent="0.3">
      <c r="A53" s="1154" t="s">
        <v>286</v>
      </c>
      <c r="B53" s="1154"/>
      <c r="C53" s="1154"/>
      <c r="D53" s="1154"/>
      <c r="E53" s="1154"/>
      <c r="F53" s="1154"/>
      <c r="G53" s="1154"/>
      <c r="H53" s="1154"/>
      <c r="I53" s="1154"/>
      <c r="J53" s="1154"/>
    </row>
  </sheetData>
  <mergeCells count="97">
    <mergeCell ref="B10:E10"/>
    <mergeCell ref="G10:H10"/>
    <mergeCell ref="I10:J10"/>
    <mergeCell ref="A1:E1"/>
    <mergeCell ref="G1:J1"/>
    <mergeCell ref="G2:J2"/>
    <mergeCell ref="G3:J3"/>
    <mergeCell ref="I4:J4"/>
    <mergeCell ref="G5:J5"/>
    <mergeCell ref="A6:J6"/>
    <mergeCell ref="A7:J7"/>
    <mergeCell ref="A9:J9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zoomScaleNormal="100" workbookViewId="0">
      <selection activeCell="G3" sqref="G3:J3"/>
    </sheetView>
  </sheetViews>
  <sheetFormatPr defaultRowHeight="14.4" x14ac:dyDescent="0.3"/>
  <cols>
    <col min="9" max="9" width="6.6640625" customWidth="1"/>
  </cols>
  <sheetData>
    <row r="1" spans="1:12" x14ac:dyDescent="0.3">
      <c r="A1" s="1244" t="str">
        <f>CONCATENATE(кошторис!B4)</f>
        <v>м. КанівШевченка21</v>
      </c>
      <c r="B1" s="1245"/>
      <c r="C1" s="1245"/>
      <c r="D1" s="1103"/>
      <c r="E1" s="1103"/>
      <c r="F1" s="181"/>
      <c r="G1" s="1246" t="s">
        <v>214</v>
      </c>
      <c r="H1" s="1246"/>
      <c r="I1" s="1246"/>
      <c r="J1" s="1246"/>
    </row>
    <row r="2" spans="1:12" x14ac:dyDescent="0.3">
      <c r="A2" s="181"/>
      <c r="B2" s="181"/>
      <c r="C2" s="181"/>
      <c r="D2" s="181"/>
      <c r="E2" s="181"/>
      <c r="F2" s="181"/>
      <c r="G2" s="1246" t="s">
        <v>108</v>
      </c>
      <c r="H2" s="1246"/>
      <c r="I2" s="1246"/>
      <c r="J2" s="1246"/>
    </row>
    <row r="3" spans="1:12" x14ac:dyDescent="0.3">
      <c r="A3" s="181"/>
      <c r="B3" s="181"/>
      <c r="C3" s="181"/>
      <c r="D3" s="181"/>
      <c r="E3" s="181"/>
      <c r="F3" s="181"/>
      <c r="G3" s="1247" t="s">
        <v>936</v>
      </c>
      <c r="H3" s="1247"/>
      <c r="I3" s="1247"/>
      <c r="J3" s="1247"/>
    </row>
    <row r="4" spans="1:12" x14ac:dyDescent="0.3">
      <c r="A4" s="181"/>
      <c r="B4" s="181"/>
      <c r="C4" s="181"/>
      <c r="D4" s="181"/>
      <c r="E4" s="181"/>
      <c r="F4" s="181"/>
      <c r="G4" s="252"/>
      <c r="H4" s="253"/>
      <c r="I4" s="1248" t="s">
        <v>296</v>
      </c>
      <c r="J4" s="1248"/>
    </row>
    <row r="5" spans="1:12" x14ac:dyDescent="0.3">
      <c r="A5" s="181"/>
      <c r="B5" s="181"/>
      <c r="C5" s="181"/>
      <c r="D5" s="181"/>
      <c r="E5" s="181"/>
      <c r="F5" s="181"/>
      <c r="G5" s="1246"/>
      <c r="H5" s="1246"/>
      <c r="I5" s="1246"/>
      <c r="J5" s="1246"/>
    </row>
    <row r="6" spans="1:12" x14ac:dyDescent="0.3">
      <c r="A6" s="1249" t="s">
        <v>300</v>
      </c>
      <c r="B6" s="1249"/>
      <c r="C6" s="1249"/>
      <c r="D6" s="1249"/>
      <c r="E6" s="1249"/>
      <c r="F6" s="1249"/>
      <c r="G6" s="1249"/>
      <c r="H6" s="1249"/>
      <c r="I6" s="1249"/>
      <c r="J6" s="1249"/>
    </row>
    <row r="7" spans="1:12" ht="28.2" customHeight="1" x14ac:dyDescent="0.3">
      <c r="A7" s="1266" t="s">
        <v>934</v>
      </c>
      <c r="B7" s="1266"/>
      <c r="C7" s="1266"/>
      <c r="D7" s="1266"/>
      <c r="E7" s="1266"/>
      <c r="F7" s="1266"/>
      <c r="G7" s="1266"/>
      <c r="H7" s="1266"/>
      <c r="I7" s="1266"/>
      <c r="J7" s="1266"/>
      <c r="K7" s="1266"/>
      <c r="L7" s="1266"/>
    </row>
    <row r="8" spans="1:12" ht="19.8" customHeight="1" x14ac:dyDescent="0.3">
      <c r="A8" s="1264" t="s">
        <v>500</v>
      </c>
      <c r="B8" s="1265"/>
      <c r="C8" s="1265"/>
      <c r="D8" s="1265"/>
      <c r="E8" s="1265"/>
      <c r="F8" s="1265"/>
      <c r="G8" s="1265"/>
      <c r="H8" s="1265"/>
      <c r="I8" s="1265"/>
      <c r="J8" s="1265"/>
      <c r="K8" s="1265"/>
      <c r="L8" s="1265"/>
    </row>
    <row r="9" spans="1:12" ht="39.6" x14ac:dyDescent="0.3">
      <c r="A9" s="184" t="s">
        <v>216</v>
      </c>
      <c r="B9" s="1242" t="s">
        <v>217</v>
      </c>
      <c r="C9" s="1224"/>
      <c r="D9" s="1224"/>
      <c r="E9" s="1224"/>
      <c r="F9" s="1224"/>
      <c r="G9" s="1224"/>
      <c r="H9" s="1224"/>
      <c r="I9" s="1224"/>
      <c r="J9" s="184" t="s">
        <v>218</v>
      </c>
      <c r="K9" s="184" t="s">
        <v>219</v>
      </c>
      <c r="L9" s="184" t="s">
        <v>493</v>
      </c>
    </row>
    <row r="10" spans="1:12" x14ac:dyDescent="0.3">
      <c r="A10" s="184">
        <v>1</v>
      </c>
      <c r="B10" s="1230" t="s">
        <v>494</v>
      </c>
      <c r="C10" s="1141"/>
      <c r="D10" s="1141"/>
      <c r="E10" s="1141"/>
      <c r="F10" s="1141"/>
      <c r="G10" s="1141"/>
      <c r="H10" s="1141"/>
      <c r="I10" s="1141"/>
      <c r="J10" s="261" t="s">
        <v>495</v>
      </c>
      <c r="K10" s="422">
        <f>L10*12</f>
        <v>1968</v>
      </c>
      <c r="L10" s="422">
        <f>Характеристика!L80</f>
        <v>164</v>
      </c>
    </row>
    <row r="11" spans="1:12" x14ac:dyDescent="0.3">
      <c r="A11" s="184">
        <v>2</v>
      </c>
      <c r="B11" s="1230" t="s">
        <v>503</v>
      </c>
      <c r="C11" s="1141"/>
      <c r="D11" s="1141"/>
      <c r="E11" s="1141"/>
      <c r="F11" s="1141"/>
      <c r="G11" s="1141"/>
      <c r="H11" s="1141"/>
      <c r="I11" s="1141"/>
      <c r="J11" s="261" t="s">
        <v>181</v>
      </c>
      <c r="K11" s="1262">
        <f>розрахунок!D22</f>
        <v>1.4</v>
      </c>
      <c r="L11" s="1260"/>
    </row>
    <row r="12" spans="1:12" x14ac:dyDescent="0.3">
      <c r="A12" s="184">
        <v>3</v>
      </c>
      <c r="B12" s="1263" t="s">
        <v>504</v>
      </c>
      <c r="C12" s="717"/>
      <c r="D12" s="717"/>
      <c r="E12" s="717"/>
      <c r="F12" s="717"/>
      <c r="G12" s="717"/>
      <c r="H12" s="717"/>
      <c r="I12" s="718"/>
      <c r="J12" s="261" t="s">
        <v>181</v>
      </c>
      <c r="K12" s="422">
        <f>L12*12</f>
        <v>550.0730368838133</v>
      </c>
      <c r="L12" s="423">
        <f>L23</f>
        <v>45.83941974031778</v>
      </c>
    </row>
    <row r="13" spans="1:12" x14ac:dyDescent="0.3">
      <c r="A13" s="184">
        <v>4</v>
      </c>
      <c r="B13" s="1259" t="s">
        <v>501</v>
      </c>
      <c r="C13" s="717"/>
      <c r="D13" s="717"/>
      <c r="E13" s="717"/>
      <c r="F13" s="717"/>
      <c r="G13" s="717"/>
      <c r="H13" s="717"/>
      <c r="I13" s="718"/>
      <c r="J13" s="184" t="s">
        <v>181</v>
      </c>
      <c r="K13" s="664">
        <f>L13*12</f>
        <v>3305.2730368838129</v>
      </c>
      <c r="L13" s="424">
        <f>L12+J22</f>
        <v>275.43941974031776</v>
      </c>
    </row>
    <row r="14" spans="1:12" x14ac:dyDescent="0.3">
      <c r="A14" s="184">
        <v>5</v>
      </c>
      <c r="B14" s="1240" t="s">
        <v>123</v>
      </c>
      <c r="C14" s="1141"/>
      <c r="D14" s="1141"/>
      <c r="E14" s="1141"/>
      <c r="F14" s="1141"/>
      <c r="G14" s="1141"/>
      <c r="H14" s="1141"/>
      <c r="I14" s="1141"/>
      <c r="J14" s="261" t="s">
        <v>223</v>
      </c>
      <c r="K14" s="1234">
        <f>Характеристика!N18</f>
        <v>2941.7</v>
      </c>
      <c r="L14" s="1260"/>
    </row>
    <row r="15" spans="1:12" x14ac:dyDescent="0.3">
      <c r="A15" s="184">
        <v>6</v>
      </c>
      <c r="B15" s="1223" t="s">
        <v>502</v>
      </c>
      <c r="C15" s="1224"/>
      <c r="D15" s="1224"/>
      <c r="E15" s="1224"/>
      <c r="F15" s="1224"/>
      <c r="G15" s="1224"/>
      <c r="H15" s="1224"/>
      <c r="I15" s="1224"/>
      <c r="J15" s="184" t="s">
        <v>181</v>
      </c>
      <c r="K15" s="1225">
        <f>L13/K14</f>
        <v>9.3632736084684975E-2</v>
      </c>
      <c r="L15" s="1261"/>
    </row>
    <row r="16" spans="1:12" x14ac:dyDescent="0.3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x14ac:dyDescent="0.3">
      <c r="A17" s="151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x14ac:dyDescent="0.3">
      <c r="A18" s="1255" t="s">
        <v>496</v>
      </c>
      <c r="B18" s="1256"/>
      <c r="C18" s="1256"/>
      <c r="D18" s="1257"/>
      <c r="E18" s="1257"/>
      <c r="F18" s="1257"/>
      <c r="G18" s="1257"/>
      <c r="H18" s="1257"/>
      <c r="I18" s="1257"/>
      <c r="J18" s="1257"/>
      <c r="K18" s="1257"/>
      <c r="L18" s="1257"/>
    </row>
    <row r="19" spans="1:12" ht="168" x14ac:dyDescent="0.3">
      <c r="A19" s="1155" t="s">
        <v>277</v>
      </c>
      <c r="B19" s="1258"/>
      <c r="C19" s="1258"/>
      <c r="D19" s="1155" t="s">
        <v>278</v>
      </c>
      <c r="E19" s="770"/>
      <c r="F19" s="1155" t="s">
        <v>497</v>
      </c>
      <c r="G19" s="770"/>
      <c r="H19" s="1155" t="s">
        <v>280</v>
      </c>
      <c r="I19" s="1166"/>
      <c r="J19" s="1155" t="s">
        <v>498</v>
      </c>
      <c r="K19" s="770"/>
      <c r="L19" s="231" t="s">
        <v>499</v>
      </c>
    </row>
    <row r="20" spans="1:12" x14ac:dyDescent="0.3">
      <c r="A20" s="1155">
        <v>1</v>
      </c>
      <c r="B20" s="770"/>
      <c r="C20" s="770"/>
      <c r="D20" s="1155">
        <v>2</v>
      </c>
      <c r="E20" s="770"/>
      <c r="F20" s="1155">
        <v>3</v>
      </c>
      <c r="G20" s="770"/>
      <c r="H20" s="1155">
        <v>4</v>
      </c>
      <c r="I20" s="1166"/>
      <c r="J20" s="1155">
        <v>5</v>
      </c>
      <c r="K20" s="770"/>
      <c r="L20" s="231">
        <v>6</v>
      </c>
    </row>
    <row r="21" spans="1:12" x14ac:dyDescent="0.3">
      <c r="A21" s="1251" t="s">
        <v>283</v>
      </c>
      <c r="B21" s="770"/>
      <c r="C21" s="770"/>
      <c r="D21" s="1252">
        <f>прибирання!C49</f>
        <v>1782768</v>
      </c>
      <c r="E21" s="770"/>
      <c r="F21" s="1157">
        <f>прибирання!D49</f>
        <v>4193729</v>
      </c>
      <c r="G21" s="770"/>
      <c r="H21" s="1156">
        <f>D21/F21*100</f>
        <v>42.51032911282536</v>
      </c>
      <c r="I21" s="761"/>
      <c r="J21" s="1157">
        <v>0</v>
      </c>
      <c r="K21" s="770"/>
      <c r="L21" s="243">
        <f>H21*J21/100</f>
        <v>0</v>
      </c>
    </row>
    <row r="22" spans="1:12" x14ac:dyDescent="0.3">
      <c r="A22" s="1251" t="s">
        <v>284</v>
      </c>
      <c r="B22" s="770"/>
      <c r="C22" s="770"/>
      <c r="D22" s="1252">
        <f>прибирання!C50</f>
        <v>2914645</v>
      </c>
      <c r="E22" s="770"/>
      <c r="F22" s="1157">
        <f>прибирання!D50</f>
        <v>14598843</v>
      </c>
      <c r="G22" s="770"/>
      <c r="H22" s="1156">
        <f>D22/F22*100</f>
        <v>19.964904068082657</v>
      </c>
      <c r="I22" s="761"/>
      <c r="J22" s="1157">
        <f>L10*K11</f>
        <v>229.6</v>
      </c>
      <c r="K22" s="770"/>
      <c r="L22" s="243">
        <f>H22*J22/100</f>
        <v>45.83941974031778</v>
      </c>
    </row>
    <row r="23" spans="1:12" x14ac:dyDescent="0.3">
      <c r="A23" s="1253" t="s">
        <v>285</v>
      </c>
      <c r="B23" s="770"/>
      <c r="C23" s="770"/>
      <c r="D23" s="1254"/>
      <c r="E23" s="770"/>
      <c r="F23" s="1160"/>
      <c r="G23" s="770"/>
      <c r="H23" s="1159"/>
      <c r="I23" s="761"/>
      <c r="J23" s="1160"/>
      <c r="K23" s="770"/>
      <c r="L23" s="406">
        <f>SUM(L21:L22)</f>
        <v>45.83941974031778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2019-05-13T11:38:22Z</dcterms:modified>
</cp:coreProperties>
</file>