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filterPrivacy="1"/>
  <xr:revisionPtr revIDLastSave="0" documentId="13_ncr:1_{A58D21BF-7597-4F30-B644-B037FAB93B4B}" xr6:coauthVersionLast="43" xr6:coauthVersionMax="43" xr10:uidLastSave="{00000000-0000-0000-0000-000000000000}"/>
  <bookViews>
    <workbookView xWindow="-108" yWindow="-108" windowWidth="23256" windowHeight="12576" tabRatio="736" activeTab="1" xr2:uid="{00000000-000D-0000-FFFF-FFFF00000000}"/>
  </bookViews>
  <sheets>
    <sheet name="Характеристика" sheetId="2" r:id="rId1"/>
    <sheet name="перелік послуг" sheetId="19" r:id="rId2"/>
    <sheet name="Лист3" sheetId="6" state="hidden" r:id="rId3"/>
    <sheet name="інвентар" sheetId="7" r:id="rId4"/>
    <sheet name="оклади" sheetId="4" r:id="rId5"/>
    <sheet name="розрахунок" sheetId="3" r:id="rId6"/>
    <sheet name="кошторис" sheetId="1" r:id="rId7"/>
    <sheet name="прибирання" sheetId="5" r:id="rId8"/>
    <sheet name="освітлення" sheetId="8" r:id="rId9"/>
    <sheet name="ТО внутріньобудин" sheetId="9" r:id="rId10"/>
    <sheet name="вентканали" sheetId="10" r:id="rId11"/>
    <sheet name="поточ рем. констр.ел " sheetId="12" r:id="rId12"/>
    <sheet name="поточ рем. внутр.б.мереж" sheetId="11" r:id="rId13"/>
    <sheet name="сход.клітки" sheetId="13" r:id="rId14"/>
    <sheet name="Сніг" sheetId="14" r:id="rId15"/>
    <sheet name="дератизація" sheetId="15" r:id="rId16"/>
    <sheet name="ліфти" sheetId="16" r:id="rId17"/>
    <sheet name="диспетчериз" sheetId="17" r:id="rId18"/>
  </sheets>
  <externalReferences>
    <externalReference r:id="rId19"/>
    <externalReference r:id="rId20"/>
  </externalReferences>
  <definedNames>
    <definedName name="_xlnm.Print_Area" localSheetId="10">вентканали!$A$1:$I$44</definedName>
    <definedName name="_xlnm.Print_Area" localSheetId="6">кошторис!$A$1:$D$31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39" i="9" l="1"/>
  <c r="E90" i="9"/>
  <c r="D50" i="14" l="1"/>
  <c r="D49" i="14"/>
  <c r="D48" i="14"/>
  <c r="D43" i="14"/>
  <c r="D37" i="14"/>
  <c r="G19" i="14"/>
  <c r="E111" i="9"/>
  <c r="E110" i="9"/>
  <c r="E109" i="9"/>
  <c r="E108" i="9"/>
  <c r="E106" i="9"/>
  <c r="E105" i="9"/>
  <c r="E99" i="9"/>
  <c r="E97" i="9"/>
  <c r="E96" i="9"/>
  <c r="E92" i="9"/>
  <c r="E91" i="9"/>
  <c r="E88" i="9"/>
  <c r="E80" i="9"/>
  <c r="E79" i="9"/>
  <c r="E78" i="9"/>
  <c r="E77" i="9"/>
  <c r="E76" i="9"/>
  <c r="E61" i="9"/>
  <c r="E48" i="9"/>
  <c r="E37" i="9"/>
  <c r="E36" i="9"/>
  <c r="E35" i="9"/>
  <c r="E34" i="9"/>
  <c r="E31" i="9"/>
  <c r="E30" i="9"/>
  <c r="E29" i="9"/>
  <c r="E28" i="9"/>
  <c r="J10" i="16" l="1"/>
  <c r="I10" i="16" s="1"/>
  <c r="D36" i="5"/>
  <c r="I12" i="2"/>
  <c r="I11" i="16" l="1"/>
  <c r="H10" i="17"/>
  <c r="F22" i="17" s="1"/>
  <c r="H13" i="17"/>
  <c r="D51" i="14"/>
  <c r="D33" i="5" l="1"/>
  <c r="D31" i="5"/>
  <c r="C110" i="7"/>
  <c r="D37" i="3" l="1"/>
  <c r="N89" i="2" l="1"/>
  <c r="I143" i="9"/>
  <c r="D131" i="9" l="1"/>
  <c r="E131" i="9" s="1"/>
  <c r="G131" i="9" l="1"/>
  <c r="H51" i="14"/>
  <c r="F10" i="15" l="1"/>
  <c r="F11" i="15"/>
  <c r="L10" i="8" l="1"/>
  <c r="K10" i="8" s="1"/>
  <c r="G21" i="14"/>
  <c r="D69" i="14" l="1"/>
  <c r="F57" i="14"/>
  <c r="G138" i="9" l="1"/>
  <c r="H138" i="9" s="1"/>
  <c r="G139" i="9"/>
  <c r="H139" i="9" s="1"/>
  <c r="H131" i="9"/>
  <c r="E137" i="9"/>
  <c r="G137" i="9" s="1"/>
  <c r="H137" i="9" s="1"/>
  <c r="D134" i="9"/>
  <c r="G134" i="9" s="1"/>
  <c r="H134" i="9" s="1"/>
  <c r="E133" i="9"/>
  <c r="G133" i="9" s="1"/>
  <c r="H133" i="9" s="1"/>
  <c r="E132" i="9"/>
  <c r="G132" i="9" s="1"/>
  <c r="H132" i="9" s="1"/>
  <c r="D138" i="9"/>
  <c r="H111" i="9"/>
  <c r="H110" i="9"/>
  <c r="H109" i="9"/>
  <c r="H108" i="9"/>
  <c r="H106" i="9"/>
  <c r="H105" i="9"/>
  <c r="H100" i="9"/>
  <c r="H99" i="9"/>
  <c r="H97" i="9"/>
  <c r="H96" i="9"/>
  <c r="E95" i="9"/>
  <c r="H95" i="9" s="1"/>
  <c r="E94" i="9"/>
  <c r="H94" i="9" s="1"/>
  <c r="H92" i="9"/>
  <c r="H91" i="9"/>
  <c r="H90" i="9"/>
  <c r="H89" i="9"/>
  <c r="H88" i="9"/>
  <c r="H11" i="17" l="1"/>
  <c r="G14" i="17"/>
  <c r="G13" i="17"/>
  <c r="G10" i="17"/>
  <c r="D21" i="15"/>
  <c r="D20" i="15"/>
  <c r="C21" i="15"/>
  <c r="C20" i="15"/>
  <c r="E20" i="15" s="1"/>
  <c r="G20" i="15" s="1"/>
  <c r="I69" i="14"/>
  <c r="I21" i="14"/>
  <c r="J31" i="14"/>
  <c r="D57" i="14" s="1"/>
  <c r="G31" i="14"/>
  <c r="G69" i="14"/>
  <c r="H50" i="14"/>
  <c r="H49" i="14"/>
  <c r="H48" i="14"/>
  <c r="D45" i="14"/>
  <c r="H45" i="14" s="1"/>
  <c r="H44" i="14"/>
  <c r="H43" i="14"/>
  <c r="H42" i="14"/>
  <c r="H41" i="14"/>
  <c r="H40" i="14"/>
  <c r="H39" i="14"/>
  <c r="H37" i="14"/>
  <c r="G22" i="14"/>
  <c r="I19" i="14"/>
  <c r="G17" i="14"/>
  <c r="H52" i="14" l="1"/>
  <c r="C57" i="14" s="1"/>
  <c r="E57" i="14" s="1"/>
  <c r="J69" i="14"/>
  <c r="I16" i="14" s="1"/>
  <c r="G16" i="14" s="1"/>
  <c r="G11" i="17"/>
  <c r="I12" i="16"/>
  <c r="I13" i="16" s="1"/>
  <c r="C7" i="1" s="1"/>
  <c r="J12" i="16"/>
  <c r="J13" i="16" s="1"/>
  <c r="F21" i="15"/>
  <c r="E21" i="15"/>
  <c r="I22" i="14"/>
  <c r="D74" i="13"/>
  <c r="D63" i="14" s="1"/>
  <c r="D73" i="13"/>
  <c r="D62" i="14" s="1"/>
  <c r="C74" i="13"/>
  <c r="C63" i="14" s="1"/>
  <c r="F63" i="14" s="1"/>
  <c r="C73" i="13"/>
  <c r="C62" i="14" s="1"/>
  <c r="F62" i="14" s="1"/>
  <c r="F68" i="13"/>
  <c r="J23" i="13"/>
  <c r="D68" i="13" s="1"/>
  <c r="G23" i="13"/>
  <c r="A77" i="13"/>
  <c r="J61" i="13"/>
  <c r="F61" i="13"/>
  <c r="H61" i="13" s="1"/>
  <c r="J60" i="13"/>
  <c r="F60" i="13"/>
  <c r="H60" i="13" s="1"/>
  <c r="J59" i="13"/>
  <c r="F59" i="13"/>
  <c r="D59" i="13"/>
  <c r="J58" i="13"/>
  <c r="F58" i="13"/>
  <c r="J57" i="13"/>
  <c r="F57" i="13"/>
  <c r="D56" i="13"/>
  <c r="H56" i="13" s="1"/>
  <c r="D55" i="13"/>
  <c r="H55" i="13" s="1"/>
  <c r="D54" i="13"/>
  <c r="H54" i="13" s="1"/>
  <c r="D53" i="13"/>
  <c r="H53" i="13" s="1"/>
  <c r="H52" i="13"/>
  <c r="H51" i="13"/>
  <c r="D50" i="13"/>
  <c r="H50" i="13" s="1"/>
  <c r="D49" i="13"/>
  <c r="H49" i="13" s="1"/>
  <c r="D48" i="13"/>
  <c r="H48" i="13" s="1"/>
  <c r="D46" i="13"/>
  <c r="H46" i="13" s="1"/>
  <c r="D45" i="13"/>
  <c r="H45" i="13" s="1"/>
  <c r="D44" i="13"/>
  <c r="H44" i="13" s="1"/>
  <c r="D43" i="13"/>
  <c r="H43" i="13" s="1"/>
  <c r="D42" i="13"/>
  <c r="H42" i="13" s="1"/>
  <c r="D41" i="13"/>
  <c r="H41" i="13" s="1"/>
  <c r="D40" i="13"/>
  <c r="H40" i="13" s="1"/>
  <c r="H39" i="13"/>
  <c r="D37" i="13"/>
  <c r="H37" i="13" s="1"/>
  <c r="D36" i="13"/>
  <c r="H36" i="13" s="1"/>
  <c r="D35" i="13"/>
  <c r="H35" i="13" s="1"/>
  <c r="H34" i="13"/>
  <c r="H33" i="13"/>
  <c r="H32" i="13"/>
  <c r="H31" i="13"/>
  <c r="J29" i="13"/>
  <c r="F29" i="13"/>
  <c r="J28" i="13"/>
  <c r="F28" i="13"/>
  <c r="G17" i="13"/>
  <c r="G15" i="13"/>
  <c r="G33" i="12"/>
  <c r="H13" i="12" s="1"/>
  <c r="I13" i="12" s="1"/>
  <c r="F33" i="12"/>
  <c r="E23" i="12"/>
  <c r="C23" i="12"/>
  <c r="G23" i="12" s="1"/>
  <c r="E22" i="12"/>
  <c r="C22" i="12"/>
  <c r="G22" i="12" s="1"/>
  <c r="H14" i="12"/>
  <c r="I14" i="12" s="1"/>
  <c r="H10" i="12"/>
  <c r="I10" i="12" s="1"/>
  <c r="E23" i="11"/>
  <c r="E22" i="11"/>
  <c r="C23" i="11"/>
  <c r="C22" i="11"/>
  <c r="G22" i="11" s="1"/>
  <c r="G33" i="11"/>
  <c r="F33" i="11"/>
  <c r="H10" i="11" s="1"/>
  <c r="G23" i="11"/>
  <c r="H14" i="11"/>
  <c r="I14" i="11" s="1"/>
  <c r="H13" i="11"/>
  <c r="I13" i="11" s="1"/>
  <c r="H22" i="17" l="1"/>
  <c r="G57" i="14"/>
  <c r="H57" i="14" s="1"/>
  <c r="C8" i="7"/>
  <c r="G21" i="15"/>
  <c r="G22" i="15" s="1"/>
  <c r="G12" i="15" s="1"/>
  <c r="G13" i="15" s="1"/>
  <c r="E73" i="13"/>
  <c r="E74" i="13"/>
  <c r="E28" i="13"/>
  <c r="H28" i="13" s="1"/>
  <c r="E57" i="13"/>
  <c r="H57" i="13" s="1"/>
  <c r="H29" i="13"/>
  <c r="H58" i="13"/>
  <c r="E59" i="13"/>
  <c r="H59" i="13" s="1"/>
  <c r="I11" i="12"/>
  <c r="H11" i="12" s="1"/>
  <c r="H22" i="12"/>
  <c r="I22" i="12" s="1"/>
  <c r="I10" i="11"/>
  <c r="I11" i="11" s="1"/>
  <c r="D43" i="10"/>
  <c r="D42" i="10"/>
  <c r="C43" i="10"/>
  <c r="E43" i="10" s="1"/>
  <c r="C42" i="10"/>
  <c r="F19" i="10"/>
  <c r="F17" i="10"/>
  <c r="D35" i="10" s="1"/>
  <c r="F18" i="10"/>
  <c r="C36" i="10" s="1"/>
  <c r="E42" i="10"/>
  <c r="D36" i="10"/>
  <c r="F21" i="10"/>
  <c r="F20" i="10"/>
  <c r="F16" i="10"/>
  <c r="C35" i="10" s="1"/>
  <c r="F15" i="10"/>
  <c r="C124" i="9"/>
  <c r="F124" i="9"/>
  <c r="F123" i="9"/>
  <c r="E36" i="10" l="1"/>
  <c r="C13" i="7" s="1"/>
  <c r="F23" i="17"/>
  <c r="H23" i="17" s="1"/>
  <c r="H24" i="17" s="1"/>
  <c r="H12" i="17" s="1"/>
  <c r="G12" i="17" s="1"/>
  <c r="G15" i="17" s="1"/>
  <c r="C8" i="1" s="1"/>
  <c r="H62" i="13"/>
  <c r="C68" i="13" s="1"/>
  <c r="E68" i="13" s="1"/>
  <c r="G68" i="13" s="1"/>
  <c r="I68" i="13" s="1"/>
  <c r="G73" i="13" s="1"/>
  <c r="I73" i="13" s="1"/>
  <c r="I57" i="14"/>
  <c r="F12" i="15"/>
  <c r="F13" i="15"/>
  <c r="C17" i="1" s="1"/>
  <c r="H23" i="12"/>
  <c r="I23" i="12" s="1"/>
  <c r="I24" i="12" s="1"/>
  <c r="I12" i="12" s="1"/>
  <c r="H22" i="11"/>
  <c r="I22" i="11" s="1"/>
  <c r="H11" i="11"/>
  <c r="E35" i="10"/>
  <c r="F22" i="10"/>
  <c r="H22" i="10" s="1"/>
  <c r="C123" i="9"/>
  <c r="H15" i="17" l="1"/>
  <c r="I11" i="13"/>
  <c r="I12" i="13" s="1"/>
  <c r="G12" i="13" s="1"/>
  <c r="G62" i="14"/>
  <c r="I62" i="14" s="1"/>
  <c r="I11" i="14"/>
  <c r="H12" i="12"/>
  <c r="H15" i="12" s="1"/>
  <c r="C11" i="1" s="1"/>
  <c r="I15" i="12"/>
  <c r="H23" i="11"/>
  <c r="I23" i="11" s="1"/>
  <c r="I24" i="11" s="1"/>
  <c r="I12" i="11" s="1"/>
  <c r="I15" i="11" s="1"/>
  <c r="E37" i="10"/>
  <c r="K23" i="9"/>
  <c r="D118" i="9" s="1"/>
  <c r="H23" i="9"/>
  <c r="E130" i="9"/>
  <c r="E129" i="9"/>
  <c r="G129" i="9" s="1"/>
  <c r="I82" i="9"/>
  <c r="I80" i="9"/>
  <c r="I79" i="9"/>
  <c r="I78" i="9"/>
  <c r="I77" i="9"/>
  <c r="I76" i="9"/>
  <c r="I75" i="9"/>
  <c r="I74" i="9"/>
  <c r="I73" i="9"/>
  <c r="I72" i="9"/>
  <c r="I71" i="9"/>
  <c r="I69" i="9"/>
  <c r="E67" i="9"/>
  <c r="I67" i="9" s="1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3" i="9"/>
  <c r="I42" i="9"/>
  <c r="I41" i="9"/>
  <c r="I40" i="9"/>
  <c r="E38" i="9"/>
  <c r="I38" i="9" s="1"/>
  <c r="I37" i="9"/>
  <c r="I36" i="9"/>
  <c r="I35" i="9"/>
  <c r="I34" i="9"/>
  <c r="I31" i="9"/>
  <c r="I30" i="9"/>
  <c r="I29" i="9"/>
  <c r="I28" i="9"/>
  <c r="A23" i="9"/>
  <c r="H14" i="9"/>
  <c r="G11" i="13" l="1"/>
  <c r="G130" i="9"/>
  <c r="H130" i="9" s="1"/>
  <c r="I12" i="14"/>
  <c r="G12" i="14" s="1"/>
  <c r="G11" i="14"/>
  <c r="D117" i="9"/>
  <c r="H12" i="11"/>
  <c r="H15" i="11" s="1"/>
  <c r="C12" i="1" s="1"/>
  <c r="I83" i="9"/>
  <c r="C117" i="9" s="1"/>
  <c r="F117" i="9" s="1"/>
  <c r="C10" i="7" s="1"/>
  <c r="H123" i="9"/>
  <c r="H124" i="9"/>
  <c r="H129" i="9"/>
  <c r="F22" i="8"/>
  <c r="F21" i="8"/>
  <c r="D22" i="8"/>
  <c r="D21" i="8"/>
  <c r="D34" i="5" l="1"/>
  <c r="D49" i="3" l="1"/>
  <c r="K11" i="8" s="1"/>
  <c r="J22" i="8" s="1"/>
  <c r="H22" i="8"/>
  <c r="H21" i="8"/>
  <c r="L21" i="8" s="1"/>
  <c r="B17" i="5"/>
  <c r="B4" i="1"/>
  <c r="A1" i="9" s="1"/>
  <c r="A1" i="8" l="1"/>
  <c r="L22" i="8"/>
  <c r="L23" i="8" s="1"/>
  <c r="L12" i="8" s="1"/>
  <c r="L13" i="8" s="1"/>
  <c r="K13" i="8" s="1"/>
  <c r="I15" i="5"/>
  <c r="J108" i="7"/>
  <c r="H31" i="7"/>
  <c r="I31" i="7" s="1"/>
  <c r="H24" i="7"/>
  <c r="I24" i="7" s="1"/>
  <c r="K12" i="8" l="1"/>
  <c r="C19" i="1" s="1"/>
  <c r="D183" i="7"/>
  <c r="G183" i="7" s="1"/>
  <c r="D182" i="7"/>
  <c r="C182" i="7"/>
  <c r="D181" i="7"/>
  <c r="C181" i="7"/>
  <c r="G175" i="7"/>
  <c r="D173" i="7"/>
  <c r="C173" i="7"/>
  <c r="A173" i="7"/>
  <c r="D172" i="7"/>
  <c r="C172" i="7"/>
  <c r="A172" i="7"/>
  <c r="D171" i="7"/>
  <c r="C171" i="7"/>
  <c r="A171" i="7"/>
  <c r="C170" i="7"/>
  <c r="A170" i="7"/>
  <c r="G161" i="7"/>
  <c r="C159" i="7"/>
  <c r="G159" i="7" s="1"/>
  <c r="C158" i="7"/>
  <c r="H158" i="7" s="1"/>
  <c r="C157" i="7"/>
  <c r="G157" i="7" s="1"/>
  <c r="C156" i="7"/>
  <c r="H156" i="7" s="1"/>
  <c r="C155" i="7"/>
  <c r="G155" i="7" s="1"/>
  <c r="I154" i="7"/>
  <c r="C154" i="7"/>
  <c r="G154" i="7" s="1"/>
  <c r="I153" i="7"/>
  <c r="C153" i="7"/>
  <c r="G153" i="7" s="1"/>
  <c r="I152" i="7"/>
  <c r="C152" i="7"/>
  <c r="G152" i="7" s="1"/>
  <c r="I151" i="7"/>
  <c r="C151" i="7"/>
  <c r="G151" i="7" s="1"/>
  <c r="I150" i="7"/>
  <c r="C150" i="7"/>
  <c r="G150" i="7" s="1"/>
  <c r="C149" i="7"/>
  <c r="H149" i="7" s="1"/>
  <c r="C148" i="7"/>
  <c r="G148" i="7" s="1"/>
  <c r="C147" i="7"/>
  <c r="H147" i="7" s="1"/>
  <c r="C146" i="7"/>
  <c r="C145" i="7"/>
  <c r="H145" i="7" s="1"/>
  <c r="C144" i="7"/>
  <c r="G144" i="7" s="1"/>
  <c r="C143" i="7"/>
  <c r="H143" i="7" s="1"/>
  <c r="C142" i="7"/>
  <c r="G142" i="7" s="1"/>
  <c r="C141" i="7"/>
  <c r="H141" i="7" s="1"/>
  <c r="C139" i="7"/>
  <c r="G139" i="7" s="1"/>
  <c r="C138" i="7"/>
  <c r="H138" i="7" s="1"/>
  <c r="C137" i="7"/>
  <c r="G137" i="7" s="1"/>
  <c r="C136" i="7"/>
  <c r="H136" i="7" s="1"/>
  <c r="C135" i="7"/>
  <c r="G135" i="7" s="1"/>
  <c r="C134" i="7"/>
  <c r="H134" i="7" s="1"/>
  <c r="C133" i="7"/>
  <c r="G133" i="7" s="1"/>
  <c r="C132" i="7"/>
  <c r="H132" i="7" s="1"/>
  <c r="C130" i="7"/>
  <c r="G130" i="7" s="1"/>
  <c r="C129" i="7"/>
  <c r="H129" i="7" s="1"/>
  <c r="C128" i="7"/>
  <c r="G128" i="7" s="1"/>
  <c r="C127" i="7"/>
  <c r="H127" i="7" s="1"/>
  <c r="C126" i="7"/>
  <c r="G126" i="7" s="1"/>
  <c r="C125" i="7"/>
  <c r="H125" i="7" s="1"/>
  <c r="C124" i="7"/>
  <c r="G124" i="7" s="1"/>
  <c r="C122" i="7"/>
  <c r="H122" i="7" s="1"/>
  <c r="C121" i="7"/>
  <c r="G121" i="7" s="1"/>
  <c r="H114" i="7"/>
  <c r="B110" i="7"/>
  <c r="G104" i="7"/>
  <c r="H103" i="7"/>
  <c r="H105" i="7" s="1"/>
  <c r="C102" i="7"/>
  <c r="G102" i="7" s="1"/>
  <c r="C101" i="7"/>
  <c r="G101" i="7" s="1"/>
  <c r="C100" i="7"/>
  <c r="G100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8" i="7"/>
  <c r="I78" i="7" s="1"/>
  <c r="H77" i="7"/>
  <c r="I77" i="7" s="1"/>
  <c r="H76" i="7"/>
  <c r="I76" i="7" s="1"/>
  <c r="H75" i="7"/>
  <c r="I75" i="7" s="1"/>
  <c r="H73" i="7"/>
  <c r="I73" i="7" s="1"/>
  <c r="H72" i="7"/>
  <c r="I72" i="7" s="1"/>
  <c r="H71" i="7"/>
  <c r="I71" i="7" s="1"/>
  <c r="H70" i="7"/>
  <c r="I70" i="7" s="1"/>
  <c r="H69" i="7"/>
  <c r="I69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2" i="7"/>
  <c r="I32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3" i="7"/>
  <c r="I23" i="7" s="1"/>
  <c r="H22" i="7"/>
  <c r="I22" i="7" s="1"/>
  <c r="H21" i="7"/>
  <c r="I21" i="7" s="1"/>
  <c r="H20" i="7"/>
  <c r="I20" i="7" s="1"/>
  <c r="H19" i="7"/>
  <c r="I19" i="7" s="1"/>
  <c r="G13" i="7"/>
  <c r="G12" i="7"/>
  <c r="F11" i="7"/>
  <c r="G11" i="7" s="1"/>
  <c r="F10" i="7"/>
  <c r="G10" i="7" s="1"/>
  <c r="C9" i="7"/>
  <c r="G8" i="7"/>
  <c r="A2" i="7"/>
  <c r="F43" i="5"/>
  <c r="H31" i="5"/>
  <c r="C44" i="5" s="1"/>
  <c r="D28" i="5"/>
  <c r="H28" i="5" s="1"/>
  <c r="J23" i="5"/>
  <c r="D43" i="5" s="1"/>
  <c r="G23" i="5"/>
  <c r="A1" i="5"/>
  <c r="A4" i="1"/>
  <c r="D23" i="4"/>
  <c r="D24" i="4"/>
  <c r="D22" i="4"/>
  <c r="C25" i="4"/>
  <c r="H2" i="9"/>
  <c r="H36" i="5"/>
  <c r="H35" i="5"/>
  <c r="H34" i="5"/>
  <c r="H33" i="5"/>
  <c r="H30" i="5"/>
  <c r="G15" i="5"/>
  <c r="K13" i="4"/>
  <c r="J7" i="4"/>
  <c r="A1" i="4"/>
  <c r="D25" i="4" l="1"/>
  <c r="D26" i="4" s="1"/>
  <c r="D47" i="3"/>
  <c r="F8" i="4"/>
  <c r="K8" i="4" s="1"/>
  <c r="F44" i="5" s="1"/>
  <c r="F10" i="4"/>
  <c r="K10" i="4" s="1"/>
  <c r="F12" i="4"/>
  <c r="K12" i="4" s="1"/>
  <c r="F9" i="4"/>
  <c r="K9" i="4" s="1"/>
  <c r="F11" i="4"/>
  <c r="K11" i="4" s="1"/>
  <c r="F7" i="4"/>
  <c r="A1" i="12"/>
  <c r="A1" i="11"/>
  <c r="A1" i="13"/>
  <c r="A1" i="10"/>
  <c r="G145" i="7"/>
  <c r="D44" i="5"/>
  <c r="E44" i="5" s="1"/>
  <c r="C12" i="7" s="1"/>
  <c r="I74" i="7"/>
  <c r="B11" i="7" s="1"/>
  <c r="G110" i="7"/>
  <c r="G127" i="7"/>
  <c r="I41" i="7"/>
  <c r="B9" i="7" s="1"/>
  <c r="G136" i="7"/>
  <c r="G181" i="7"/>
  <c r="I59" i="7"/>
  <c r="I79" i="7"/>
  <c r="I88" i="7"/>
  <c r="B13" i="7" s="1"/>
  <c r="D13" i="7" s="1"/>
  <c r="G103" i="7"/>
  <c r="G105" i="7" s="1"/>
  <c r="I103" i="7" s="1"/>
  <c r="G171" i="7"/>
  <c r="G173" i="7"/>
  <c r="G122" i="7"/>
  <c r="G132" i="7"/>
  <c r="G141" i="7"/>
  <c r="G182" i="7"/>
  <c r="G125" i="7"/>
  <c r="G129" i="7"/>
  <c r="G134" i="7"/>
  <c r="G138" i="7"/>
  <c r="G143" i="7"/>
  <c r="G147" i="7"/>
  <c r="H148" i="7"/>
  <c r="G149" i="7"/>
  <c r="H150" i="7"/>
  <c r="H154" i="7"/>
  <c r="G156" i="7"/>
  <c r="H171" i="7"/>
  <c r="H172" i="7"/>
  <c r="H152" i="7"/>
  <c r="G158" i="7"/>
  <c r="H173" i="7"/>
  <c r="I33" i="7"/>
  <c r="G172" i="7"/>
  <c r="H121" i="7"/>
  <c r="H124" i="7"/>
  <c r="H126" i="7"/>
  <c r="H128" i="7"/>
  <c r="H130" i="7"/>
  <c r="H133" i="7"/>
  <c r="H135" i="7"/>
  <c r="H137" i="7"/>
  <c r="H139" i="7"/>
  <c r="H142" i="7"/>
  <c r="H144" i="7"/>
  <c r="H151" i="7"/>
  <c r="H153" i="7"/>
  <c r="H155" i="7"/>
  <c r="H157" i="7"/>
  <c r="H159" i="7"/>
  <c r="E49" i="5"/>
  <c r="E50" i="5"/>
  <c r="B2" i="3"/>
  <c r="D7" i="3"/>
  <c r="M23" i="2"/>
  <c r="M22" i="2"/>
  <c r="N17" i="2"/>
  <c r="N16" i="2"/>
  <c r="N18" i="2" s="1"/>
  <c r="N15" i="2"/>
  <c r="F24" i="10" l="1"/>
  <c r="F14" i="15"/>
  <c r="F15" i="15" s="1"/>
  <c r="D17" i="1" s="1"/>
  <c r="J15" i="9"/>
  <c r="H15" i="9" s="1"/>
  <c r="G24" i="14"/>
  <c r="G16" i="17"/>
  <c r="G17" i="17" s="1"/>
  <c r="D8" i="1" s="1"/>
  <c r="I14" i="16"/>
  <c r="I15" i="16" s="1"/>
  <c r="D7" i="1" s="1"/>
  <c r="H16" i="12"/>
  <c r="H17" i="12" s="1"/>
  <c r="D11" i="1" s="1"/>
  <c r="H16" i="11"/>
  <c r="H17" i="11" s="1"/>
  <c r="D12" i="1" s="1"/>
  <c r="H17" i="9"/>
  <c r="K14" i="8"/>
  <c r="K15" i="8" s="1"/>
  <c r="D19" i="1" s="1"/>
  <c r="G17" i="5"/>
  <c r="G117" i="9"/>
  <c r="H117" i="9" s="1"/>
  <c r="I117" i="9" s="1"/>
  <c r="J117" i="9" s="1"/>
  <c r="G118" i="9"/>
  <c r="B10" i="7"/>
  <c r="D10" i="7" s="1"/>
  <c r="E10" i="7" s="1"/>
  <c r="I10" i="7" s="1"/>
  <c r="G44" i="5"/>
  <c r="H44" i="5" s="1"/>
  <c r="F35" i="10"/>
  <c r="G35" i="10" s="1"/>
  <c r="F36" i="10"/>
  <c r="G36" i="10" s="1"/>
  <c r="H36" i="10" s="1"/>
  <c r="A1" i="15"/>
  <c r="A1" i="14"/>
  <c r="H115" i="7"/>
  <c r="I110" i="7"/>
  <c r="I111" i="7" s="1"/>
  <c r="I113" i="7" s="1"/>
  <c r="H110" i="7"/>
  <c r="H111" i="7" s="1"/>
  <c r="H113" i="7" s="1"/>
  <c r="I44" i="5"/>
  <c r="G184" i="7"/>
  <c r="G186" i="7" s="1"/>
  <c r="I184" i="7" s="1"/>
  <c r="H13" i="7"/>
  <c r="E13" i="7"/>
  <c r="I13" i="7" s="1"/>
  <c r="H14" i="10" s="1"/>
  <c r="F14" i="10" s="1"/>
  <c r="G160" i="7"/>
  <c r="G162" i="7" s="1"/>
  <c r="B12" i="7"/>
  <c r="D12" i="7" s="1"/>
  <c r="D170" i="7"/>
  <c r="H160" i="7"/>
  <c r="H162" i="7" s="1"/>
  <c r="B8" i="7"/>
  <c r="D8" i="7" s="1"/>
  <c r="B7" i="7"/>
  <c r="D9" i="7"/>
  <c r="H37" i="5"/>
  <c r="C43" i="5" s="1"/>
  <c r="E43" i="5" s="1"/>
  <c r="H10" i="7" l="1"/>
  <c r="H35" i="10"/>
  <c r="I36" i="10"/>
  <c r="H12" i="10" s="1"/>
  <c r="F12" i="10" s="1"/>
  <c r="G37" i="10"/>
  <c r="A1" i="16"/>
  <c r="A1" i="17"/>
  <c r="I160" i="7"/>
  <c r="F9" i="7" s="1"/>
  <c r="G9" i="7" s="1"/>
  <c r="I116" i="7"/>
  <c r="G43" i="5"/>
  <c r="C7" i="7"/>
  <c r="D7" i="7" s="1"/>
  <c r="F7" i="7"/>
  <c r="E12" i="7"/>
  <c r="I12" i="7" s="1"/>
  <c r="H12" i="7"/>
  <c r="H170" i="7"/>
  <c r="H174" i="7" s="1"/>
  <c r="H176" i="7" s="1"/>
  <c r="G170" i="7"/>
  <c r="G174" i="7" s="1"/>
  <c r="G176" i="7" s="1"/>
  <c r="E9" i="7"/>
  <c r="H9" i="7"/>
  <c r="H8" i="7"/>
  <c r="E8" i="7"/>
  <c r="I8" i="7" s="1"/>
  <c r="I15" i="14" s="1"/>
  <c r="H43" i="5" l="1"/>
  <c r="I43" i="5" s="1"/>
  <c r="I11" i="5" s="1"/>
  <c r="I9" i="7"/>
  <c r="I14" i="13" s="1"/>
  <c r="G74" i="13" s="1"/>
  <c r="I74" i="13" s="1"/>
  <c r="I75" i="13" s="1"/>
  <c r="I13" i="13" s="1"/>
  <c r="H37" i="10"/>
  <c r="I35" i="10"/>
  <c r="I37" i="10" s="1"/>
  <c r="G15" i="14"/>
  <c r="G14" i="14" s="1"/>
  <c r="I14" i="14"/>
  <c r="G63" i="14" s="1"/>
  <c r="I63" i="14" s="1"/>
  <c r="I64" i="14" s="1"/>
  <c r="I13" i="14" s="1"/>
  <c r="E7" i="7"/>
  <c r="H7" i="7"/>
  <c r="G7" i="7"/>
  <c r="I174" i="7"/>
  <c r="F14" i="7" s="1"/>
  <c r="G14" i="13" l="1"/>
  <c r="G49" i="5"/>
  <c r="I49" i="5" s="1"/>
  <c r="G11" i="5"/>
  <c r="I12" i="5"/>
  <c r="G12" i="5" s="1"/>
  <c r="H11" i="10"/>
  <c r="F42" i="10"/>
  <c r="H42" i="10" s="1"/>
  <c r="G13" i="14"/>
  <c r="G18" i="14" s="1"/>
  <c r="G23" i="14" s="1"/>
  <c r="C16" i="1" s="1"/>
  <c r="I18" i="14"/>
  <c r="I23" i="14" s="1"/>
  <c r="G25" i="14" s="1"/>
  <c r="D16" i="1" s="1"/>
  <c r="G13" i="13"/>
  <c r="G16" i="13" s="1"/>
  <c r="C15" i="1" s="1"/>
  <c r="I16" i="13"/>
  <c r="G18" i="13" s="1"/>
  <c r="D15" i="1" s="1"/>
  <c r="I7" i="7"/>
  <c r="I14" i="5" s="1"/>
  <c r="F43" i="10" l="1"/>
  <c r="H43" i="10" s="1"/>
  <c r="H44" i="10" s="1"/>
  <c r="H13" i="10" s="1"/>
  <c r="F13" i="10" s="1"/>
  <c r="F11" i="10"/>
  <c r="G14" i="7"/>
  <c r="G50" i="5"/>
  <c r="H23" i="10" l="1"/>
  <c r="F25" i="10" s="1"/>
  <c r="D9" i="1" s="1"/>
  <c r="F23" i="10"/>
  <c r="C9" i="1" s="1"/>
  <c r="G14" i="5"/>
  <c r="I50" i="5"/>
  <c r="I51" i="5" s="1"/>
  <c r="I13" i="5" s="1"/>
  <c r="G13" i="5" s="1"/>
  <c r="I16" i="5" l="1"/>
  <c r="G18" i="5" s="1"/>
  <c r="D14" i="1" s="1"/>
  <c r="G16" i="5"/>
  <c r="C14" i="1" s="1"/>
  <c r="E102" i="9"/>
  <c r="E135" i="9" s="1"/>
  <c r="G135" i="9" s="1"/>
  <c r="H135" i="9" s="1"/>
  <c r="E103" i="9"/>
  <c r="H103" i="9" s="1"/>
  <c r="H102" i="9" l="1"/>
  <c r="H112" i="9" s="1"/>
  <c r="C118" i="9" s="1"/>
  <c r="F118" i="9" s="1"/>
  <c r="E136" i="9"/>
  <c r="G136" i="9" s="1"/>
  <c r="H136" i="9" s="1"/>
  <c r="H140" i="9" s="1"/>
  <c r="C11" i="7" l="1"/>
  <c r="D11" i="7" s="1"/>
  <c r="H11" i="7" s="1"/>
  <c r="H14" i="7" s="1"/>
  <c r="H118" i="9"/>
  <c r="I118" i="9" s="1"/>
  <c r="J118" i="9" s="1"/>
  <c r="D14" i="7"/>
  <c r="E11" i="7" l="1"/>
  <c r="J10" i="9"/>
  <c r="I123" i="9"/>
  <c r="K123" i="9" s="1"/>
  <c r="E14" i="7"/>
  <c r="I11" i="7"/>
  <c r="J13" i="9" l="1"/>
  <c r="H13" i="9" s="1"/>
  <c r="I14" i="7"/>
  <c r="J11" i="9"/>
  <c r="H11" i="9" s="1"/>
  <c r="H10" i="9"/>
  <c r="I124" i="9" l="1"/>
  <c r="K124" i="9" s="1"/>
  <c r="K125" i="9" s="1"/>
  <c r="J12" i="9" s="1"/>
  <c r="H12" i="9" s="1"/>
  <c r="H16" i="9" s="1"/>
  <c r="C6" i="1" s="1"/>
  <c r="J16" i="9" l="1"/>
  <c r="K18" i="9" s="1"/>
  <c r="D6" i="1" s="1"/>
  <c r="C20" i="1"/>
  <c r="C21" i="1" s="1"/>
  <c r="C22" i="1" s="1"/>
  <c r="D20" i="1"/>
  <c r="D21" i="1" s="1"/>
  <c r="D22" i="1" s="1"/>
</calcChain>
</file>

<file path=xl/sharedStrings.xml><?xml version="1.0" encoding="utf-8"?>
<sst xmlns="http://schemas.openxmlformats.org/spreadsheetml/2006/main" count="1913" uniqueCount="987">
  <si>
    <t>Технічне обслуговування ліфтів</t>
  </si>
  <si>
    <t>Обслуговування систем диспетчеризації</t>
  </si>
  <si>
    <t>Поточний ремонт конструктивних елементів, технічних пристоїв будинків та иелементів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</si>
  <si>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</si>
  <si>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</si>
  <si>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</si>
  <si>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</si>
  <si>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</si>
  <si>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</si>
  <si>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Винагорода управителю</t>
  </si>
  <si>
    <t>ПДВ</t>
  </si>
  <si>
    <t>Вартість послуги з управління багатоквартирним будинком</t>
  </si>
  <si>
    <t>№
п/п</t>
  </si>
  <si>
    <t>КОШТОРИС
витрат на утримання багатоквартирного будинку та 
прибудинкової території</t>
  </si>
  <si>
    <t>Таблиця-характеристика будинка та прибудинкової території</t>
  </si>
  <si>
    <t>КП "Житлово-експлуатаційна контора "</t>
  </si>
  <si>
    <t>Адреса</t>
  </si>
  <si>
    <t>м. Канів</t>
  </si>
  <si>
    <t>вул.</t>
  </si>
  <si>
    <t>Буд.</t>
  </si>
  <si>
    <t>Дата будови</t>
  </si>
  <si>
    <t>Земельний податок (грн./рік)</t>
  </si>
  <si>
    <t>Всего</t>
  </si>
  <si>
    <t>Площадь лестничных площадок и маршей</t>
  </si>
  <si>
    <t>с 1-го по 3-й этаж</t>
  </si>
  <si>
    <t>выше 3-го этажа</t>
  </si>
  <si>
    <t>Площадь холов, коридоров, вестибюлей, галерей / степень наполнения</t>
  </si>
  <si>
    <t>Площадь помещений кабинетов,приемных,детских комнат и т.д. / степень наполнения</t>
  </si>
  <si>
    <t>Информация об окнах дома</t>
  </si>
  <si>
    <t>К-во сторон</t>
  </si>
  <si>
    <t>Ед.изм.</t>
  </si>
  <si>
    <t>Легкий доступ</t>
  </si>
  <si>
    <t>Затрудненный доступ</t>
  </si>
  <si>
    <t>Обычная конфигурация,сплошное стекло</t>
  </si>
  <si>
    <t>м.кв.</t>
  </si>
  <si>
    <t>Обычная конфигурация,не больше пяти створок</t>
  </si>
  <si>
    <t>Обычная конфигурация, больше пяти створок</t>
  </si>
  <si>
    <t>Сложная конфигурация</t>
  </si>
  <si>
    <t>Сплошное стекло витринного типа</t>
  </si>
  <si>
    <t>Сплошное стекло витринного типа,не больше пяти створок</t>
  </si>
  <si>
    <t>Сплошное стекло витринного типа, больше пяти створок</t>
  </si>
  <si>
    <t>Прочая информация о местах общего пользования</t>
  </si>
  <si>
    <t>Потолки (м.кв.)</t>
  </si>
  <si>
    <t>Стены (м.кв.)</t>
  </si>
  <si>
    <t>Двери (м.кв.)</t>
  </si>
  <si>
    <t>Подоконники (м.кв.)</t>
  </si>
  <si>
    <t>Оконные огородження,решетки (м.кв.)</t>
  </si>
  <si>
    <t>Поручни(м.)</t>
  </si>
  <si>
    <t>Огражд. лифтовых шахт с метал.сетки(м.кв.)</t>
  </si>
  <si>
    <t>Радиаторы(шт.)</t>
  </si>
  <si>
    <t>Индивидуальные почт.ящики, шкафи и дверцы електрощитов(м.кв.)</t>
  </si>
  <si>
    <t>Плафоны(шт.)</t>
  </si>
  <si>
    <t>Полы лифтовых кабин (м.кв.)</t>
  </si>
  <si>
    <t>Стены лифтовых кабин (м.кв.)</t>
  </si>
  <si>
    <t>Туалети в помещениях (м.кв.)</t>
  </si>
  <si>
    <t>Инженерные системы дома</t>
  </si>
  <si>
    <t>Источник</t>
  </si>
  <si>
    <t>Отопление</t>
  </si>
  <si>
    <t>АГВ</t>
  </si>
  <si>
    <t>Тип разводки</t>
  </si>
  <si>
    <t>верхняя</t>
  </si>
  <si>
    <t>Длина труб отопления</t>
  </si>
  <si>
    <t>Печное</t>
  </si>
  <si>
    <t>Нижняя</t>
  </si>
  <si>
    <t>Диаметр труб отопления</t>
  </si>
  <si>
    <t>Центральное</t>
  </si>
  <si>
    <t>Вид циркуляции</t>
  </si>
  <si>
    <t>принудительная</t>
  </si>
  <si>
    <t>К-во квартирн. радиаторов</t>
  </si>
  <si>
    <t>Центральное(домовое)</t>
  </si>
  <si>
    <t>естественная</t>
  </si>
  <si>
    <t>К-во вентилей</t>
  </si>
  <si>
    <t>К-во узлов управления</t>
  </si>
  <si>
    <t>Горячее водоснабжение</t>
  </si>
  <si>
    <t>Газовая колонка</t>
  </si>
  <si>
    <t>Длина труб горячего водоснабжения</t>
  </si>
  <si>
    <t xml:space="preserve">К-во </t>
  </si>
  <si>
    <t>Центральное(ТЭЦ)</t>
  </si>
  <si>
    <t>Диаметр труб горячего водоснабжения</t>
  </si>
  <si>
    <t>0</t>
  </si>
  <si>
    <t>Холодное водоснабжение</t>
  </si>
  <si>
    <t>Количество дополнительных подкачек воды,шт</t>
  </si>
  <si>
    <t>Длина труб холодного водоснабжения</t>
  </si>
  <si>
    <t>Колодец</t>
  </si>
  <si>
    <t>Количество дворовых колонок,шт</t>
  </si>
  <si>
    <t>Диаметр труб холодного водоснабжения</t>
  </si>
  <si>
    <t>Тип</t>
  </si>
  <si>
    <t>Канализация</t>
  </si>
  <si>
    <t>Центральная</t>
  </si>
  <si>
    <t>Количество квартир с ваннами, шт</t>
  </si>
  <si>
    <t>Длина труб канализации</t>
  </si>
  <si>
    <t>Местная</t>
  </si>
  <si>
    <t>Количество квартир без ванн, шт</t>
  </si>
  <si>
    <t>Диаметр труб канализации</t>
  </si>
  <si>
    <t>Количество встроенных дождевых водостоков, шт</t>
  </si>
  <si>
    <t>Тип проводки</t>
  </si>
  <si>
    <t>Электроснабжение</t>
  </si>
  <si>
    <t>Открытая проводка</t>
  </si>
  <si>
    <t>Количество вводов, шт</t>
  </si>
  <si>
    <t>1</t>
  </si>
  <si>
    <t>Длина єлектросети</t>
  </si>
  <si>
    <t>К-во ламп</t>
  </si>
  <si>
    <t>Закрытая проводка</t>
  </si>
  <si>
    <t>Количество щитовых, шт.</t>
  </si>
  <si>
    <t>Бытовых электроплит,шт</t>
  </si>
  <si>
    <t>Директор</t>
  </si>
  <si>
    <t xml:space="preserve"> </t>
  </si>
  <si>
    <t>Бухгалтер</t>
  </si>
  <si>
    <t>Кількість</t>
  </si>
  <si>
    <t>Поверхи</t>
  </si>
  <si>
    <t>Під'їзди</t>
  </si>
  <si>
    <t>Ліфти</t>
  </si>
  <si>
    <t>Характеристика приміщень житлового будинку</t>
  </si>
  <si>
    <t>Житлові приміщення</t>
  </si>
  <si>
    <t>нежитлові приміщення з виходом на сход.клітин.</t>
  </si>
  <si>
    <t>нежитлові приміщення без виходу на сход.клітин.</t>
  </si>
  <si>
    <t>ВСЬОГО</t>
  </si>
  <si>
    <t>Кількість приміщень</t>
  </si>
  <si>
    <t>Загальна площа квартир</t>
  </si>
  <si>
    <t>Загальна площа приміщень 1-го поверх</t>
  </si>
  <si>
    <t>Загальна площа будинку</t>
  </si>
  <si>
    <t>Інформація для розрахунку завантаження прибиральника</t>
  </si>
  <si>
    <t>Інформація для розрахунку завантаження двірника</t>
  </si>
  <si>
    <t>Площа прибудинкової території (без газонів), кв.м.</t>
  </si>
  <si>
    <t>Територія з удосконаленим покриттям</t>
  </si>
  <si>
    <t>Територія з неудоскаланем покриттям</t>
  </si>
  <si>
    <t>Територія без покриття</t>
  </si>
  <si>
    <t>Територія, що посипається піском в зимовий час</t>
  </si>
  <si>
    <t>Площа газонів, кв.м.</t>
  </si>
  <si>
    <t>Прибираєма площа газонів</t>
  </si>
  <si>
    <t>Площа газонів, на якій коситься трава (м.кв.)</t>
  </si>
  <si>
    <t>Газони суцільного типу</t>
  </si>
  <si>
    <t>Газони  комбінованого типу</t>
  </si>
  <si>
    <t>Площа сміттєвих майданчиків</t>
  </si>
  <si>
    <t>Кількість опалого листя в осінній період, куб.м</t>
  </si>
  <si>
    <t>Газопостачання,протипожежна автоматика</t>
  </si>
  <si>
    <t>Кількість газових плит, шт.</t>
  </si>
  <si>
    <t>Димові та вентиляційні канали</t>
  </si>
  <si>
    <t>Кількість димових каналів, шт.</t>
  </si>
  <si>
    <t>Кількість вентиляційних каналів, шт</t>
  </si>
  <si>
    <t>Тариф на 1кВт*год електроенергії для освітл.місць загального користування та роботи ліфтів</t>
  </si>
  <si>
    <t>Фактичні средньомісячні витрати електроенргії:</t>
  </si>
  <si>
    <t>Освітлення</t>
  </si>
  <si>
    <t>Інформація про прилади обліку</t>
  </si>
  <si>
    <t>Прилади обліку</t>
  </si>
  <si>
    <t>Кількість приладів, шт.</t>
  </si>
  <si>
    <t>Теплопостачання</t>
  </si>
  <si>
    <t>Холодної води</t>
  </si>
  <si>
    <t>Електричної енергії</t>
  </si>
  <si>
    <t>Будинкових</t>
  </si>
  <si>
    <t>Квартирних</t>
  </si>
  <si>
    <t>Інформація про  заключенні  договора на обслуговування</t>
  </si>
  <si>
    <t>Витрати на обслуговування по договорах</t>
  </si>
  <si>
    <t>Сума, грн./міс.</t>
  </si>
  <si>
    <t>Средньомісячний тариф на проведення дератизаційних рабіт на 1м2 площі дератизації</t>
  </si>
  <si>
    <t>Вартість проведення дезінсекційних робіт на 1 м2 площі дезінсекції</t>
  </si>
  <si>
    <t xml:space="preserve">Зведена таблиця показників для розрахунку </t>
  </si>
  <si>
    <t>Сумарна загальна площа квартир (житлових приміщень у гуртожитку) та нежитлових приміщень у житловому будинку(гуртожитку) (Пз)</t>
  </si>
  <si>
    <t>м2</t>
  </si>
  <si>
    <t>Сумарна загальна площа квартир (житлових приміщень у гуртожитку) та нежитлових приміщень у житловому будинку(гуртожитку),які мають окремі виходи безпосередьньо на сходові клітки (Пзжн)</t>
  </si>
  <si>
    <t>Сумарна загальна площа квартир (житлових приміщень у гуртожитку)(Пзж)</t>
  </si>
  <si>
    <t>Сумарна загальна площа квартир (житлових приміщень у гуртожитку)(крім квартир(житлових приміщень у гуртожитку) та нежитлових приміщень у житловому будинку(гуртожитку), першого поверху) (Пзл)</t>
  </si>
  <si>
    <t>Житлова площа будинку</t>
  </si>
  <si>
    <t>Площа підвалу (Пп)</t>
  </si>
  <si>
    <t>Площа асфальтованих дворів та вулиць,що посипається протиожеледними засібами</t>
  </si>
  <si>
    <t>шт.</t>
  </si>
  <si>
    <t>Нормативна кількість димових каналів(Дкд)</t>
  </si>
  <si>
    <t>Нормативна кількість вентиляційних каналів(Дкв)</t>
  </si>
  <si>
    <t>Відсоток нарахування єдиного внеску на загальнообов'язкове державне соціальне страхування , %</t>
  </si>
  <si>
    <t>%</t>
  </si>
  <si>
    <t>Рівень рентабельності, %</t>
  </si>
  <si>
    <t>Рік розрахунку</t>
  </si>
  <si>
    <t>Кількість робочих днів в році (при п'ятиденному робочому тижні)</t>
  </si>
  <si>
    <t>днів</t>
  </si>
  <si>
    <t>Кількість робочих годин в році (40-годинний робочий тиждень)</t>
  </si>
  <si>
    <t>годин</t>
  </si>
  <si>
    <t>Середньорічний прожитковий мінімум</t>
  </si>
  <si>
    <t>грн</t>
  </si>
  <si>
    <t>грн.</t>
  </si>
  <si>
    <t>Ціна 1 куб.метра води,використаної для прибирання</t>
  </si>
  <si>
    <t>Тариф на 1 кВт*г електроенергії(Те)</t>
  </si>
  <si>
    <t>Вартість 1 куб.м. соляно-пісчаної суміши</t>
  </si>
  <si>
    <t>Площа приміщень де проводиться дератизація</t>
  </si>
  <si>
    <t>Відсоток податку на додану вартість %</t>
  </si>
  <si>
    <t>Додаток №1</t>
  </si>
  <si>
    <t>до розрахунку тарифів</t>
  </si>
  <si>
    <t>Розрахунок посадових окладів обслуговуючого персоналу</t>
  </si>
  <si>
    <t>Посада</t>
  </si>
  <si>
    <t>Розряд</t>
  </si>
  <si>
    <t>Коефіцієнт співвідношення мінімальної тарифної ставки робітника І розряду до мін. зарплати</t>
  </si>
  <si>
    <t xml:space="preserve">Коефіцієнт співвідношення мінімальної тарифної ставки робітника І розряду до встановленою Галузевою угодою  тарифної ставки робітника І розряду за підгалузями робіт </t>
  </si>
  <si>
    <t>Міжразряд-ний тарифний коефіцієнт (згідно  єдиної сітки)</t>
  </si>
  <si>
    <t xml:space="preserve">Посадовий оклад </t>
  </si>
  <si>
    <t>Примітка</t>
  </si>
  <si>
    <t>Двірник</t>
  </si>
  <si>
    <t>Дод.2 до Угоди</t>
  </si>
  <si>
    <t>Робітник з комплексного обслуговування</t>
  </si>
  <si>
    <t>Сантехнік</t>
  </si>
  <si>
    <t>Електрик</t>
  </si>
  <si>
    <t>Пічник</t>
  </si>
  <si>
    <t>Майстер</t>
  </si>
  <si>
    <t>Дод.3 до Угоди</t>
  </si>
  <si>
    <t>Єдина сітка міжрозрядних тарифних коефіцієнтів</t>
  </si>
  <si>
    <t>РОЗРЯДИ</t>
  </si>
  <si>
    <t>I</t>
  </si>
  <si>
    <t>II</t>
  </si>
  <si>
    <t>III</t>
  </si>
  <si>
    <t>IV</t>
  </si>
  <si>
    <t>V</t>
  </si>
  <si>
    <t>VI</t>
  </si>
  <si>
    <r>
      <t xml:space="preserve">(згідно з рекомендаціями </t>
    </r>
    <r>
      <rPr>
        <b/>
        <sz val="9"/>
        <rFont val="Arial Cyr"/>
        <charset val="204"/>
      </rPr>
      <t>ГАЛУЗЕВОЇ УГОДИ</t>
    </r>
    <r>
      <rPr>
        <sz val="9"/>
        <rFont val="Arial Cyr"/>
        <charset val="204"/>
      </rPr>
      <t xml:space="preserve">
між Міністерством регіонального розвитку, будівництва та житлово-комунального господарства України, Обєднанням організацій роботодавців "Всеукраїнська конфедерація роботодавців житлово-комунальної галузі України " та  Центральним комітетом профспілки працівників житлово-комунального господарства, місцевої промисловості, побутового обслуговування населення України на 2017 - 2018 рік) </t>
    </r>
  </si>
  <si>
    <t>"Затверджено"</t>
  </si>
  <si>
    <t>"Прибирання прибудинкової території"</t>
  </si>
  <si>
    <t>№ п/п</t>
  </si>
  <si>
    <t>Статті витрат</t>
  </si>
  <si>
    <t>Одиниця виміру</t>
  </si>
  <si>
    <t>Витрати на рік</t>
  </si>
  <si>
    <t>Середньомісячні витрати</t>
  </si>
  <si>
    <t xml:space="preserve">Усього витрат </t>
  </si>
  <si>
    <t>РАЗОМ</t>
  </si>
  <si>
    <t xml:space="preserve"> кв.м </t>
  </si>
  <si>
    <t>1. Розрахунок чисельності двірників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</si>
  <si>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</t>
    </r>
    <r>
      <rPr>
        <sz val="9"/>
        <rFont val="Times New Roman"/>
        <family val="1"/>
        <charset val="204"/>
      </rPr>
      <t>.</t>
    </r>
  </si>
  <si>
    <t>робочих днів:</t>
  </si>
  <si>
    <t>робочих годин:</t>
  </si>
  <si>
    <t>1.1.</t>
  </si>
  <si>
    <t>Розрахунок трудомісткісті робіт за рік</t>
  </si>
  <si>
    <t>№ з/п</t>
  </si>
  <si>
    <t>Перелік робіт</t>
  </si>
  <si>
    <t>Обсяг робіт  (площа прибирання)  м.кв.</t>
  </si>
  <si>
    <t>Повторюван-ність (кількість прибирань) в рік</t>
  </si>
  <si>
    <t xml:space="preserve">Витрати праці робітника з комплексного прибирання та утримання будинків з прилеглими територіями (двірника) згідно норм на 100 кв.м. площі(люд./год) </t>
  </si>
  <si>
    <t>Витрати нормогодин на весь обсяг робіт з урахуванням повторюван-ності (гр.3/100*гр.4*гр.5)</t>
  </si>
  <si>
    <t>Норматив (№ таблиці)</t>
  </si>
  <si>
    <t>Код норми</t>
  </si>
  <si>
    <t>Підмітання території, збирання докупи та транспортування сміття в установлене місце</t>
  </si>
  <si>
    <t>1-21-1</t>
  </si>
  <si>
    <t>2</t>
  </si>
  <si>
    <t>Клас території I</t>
  </si>
  <si>
    <t>Клас території II</t>
  </si>
  <si>
    <t>Клас території III</t>
  </si>
  <si>
    <t>3</t>
  </si>
  <si>
    <t>4</t>
  </si>
  <si>
    <t>Миття території з удосконаленним та неудосконаленним покриттям</t>
  </si>
  <si>
    <t>1-25-1</t>
  </si>
  <si>
    <t>1-25-2</t>
  </si>
  <si>
    <t>1-25-3</t>
  </si>
  <si>
    <t>Скошування трави ручними мотокосами</t>
  </si>
  <si>
    <t xml:space="preserve"> газони суцільного типу</t>
  </si>
  <si>
    <t>28</t>
  </si>
  <si>
    <t>1-28-1</t>
  </si>
  <si>
    <t xml:space="preserve"> газони комбінованого типу</t>
  </si>
  <si>
    <t>Прибирання сміття з газонів, транспортування сміття у визначене місце</t>
  </si>
  <si>
    <t>прибирання газонів від випадкового сміття</t>
  </si>
  <si>
    <t>1-34-3</t>
  </si>
  <si>
    <t>Прибирання території від опалого листя, віднесення на відстань до 15 метрів, підмітання майданчика *</t>
  </si>
  <si>
    <t>1-39-1</t>
  </si>
  <si>
    <t>5</t>
  </si>
  <si>
    <t>Очищення урн від сміття</t>
  </si>
  <si>
    <t>1-36-2</t>
  </si>
  <si>
    <t>6</t>
  </si>
  <si>
    <t>Прибирання контейнерних майданчиків</t>
  </si>
  <si>
    <t>1-52-1</t>
  </si>
  <si>
    <t>Разом на рік</t>
  </si>
  <si>
    <t>* - норматив - на 1 куб.м.листя</t>
  </si>
  <si>
    <t>2.Розрахунок заробітної плати двірника</t>
  </si>
  <si>
    <t>Витрати нормогодин на рік</t>
  </si>
  <si>
    <t>Річний фонд робочого часу</t>
  </si>
  <si>
    <t>Кількість штатних одиниць: гр.2 / гр.3</t>
  </si>
  <si>
    <t>Посадовий оклад двірника          (див.дод.№1 )</t>
  </si>
  <si>
    <t>Заробітна плата двірника в місяць      (гр.4 х гр.5)    грн.</t>
  </si>
  <si>
    <t>Сума премії,грн.</t>
  </si>
  <si>
    <t>Заробітна плата двірника  з урахуванням  резерву на відпустку(9%), грн.</t>
  </si>
  <si>
    <t xml:space="preserve">3.Розрахунок накладих витрат </t>
  </si>
  <si>
    <t>Вид накладних витрат</t>
  </si>
  <si>
    <t>Сума накладних витрат, грн. в місяць</t>
  </si>
  <si>
    <r>
      <t xml:space="preserve">Загальна база для розподілу накладних витрат , грн. в міс. </t>
    </r>
    <r>
      <rPr>
        <b/>
        <sz val="9"/>
        <rFont val="Times New Roman"/>
        <family val="1"/>
        <charset val="204"/>
      </rPr>
      <t>*</t>
    </r>
  </si>
  <si>
    <t>Рівень накладних витрат, %   (гр.2/гр.3*100)</t>
  </si>
  <si>
    <t>База для розрахунку накладних витрат на прибирання прибудинкової території, грн.</t>
  </si>
  <si>
    <t>Доля накладних витрат на прибирання прибудинкової території, грн. в міс. (гр.4*гр.5)/100</t>
  </si>
  <si>
    <t>Загальновиробничі витрати</t>
  </si>
  <si>
    <t>Адміністративні витрати</t>
  </si>
  <si>
    <t>Разом накладних витрат</t>
  </si>
  <si>
    <t>* для загальновиробничих витрат - фонд оплати праці основних робітників; для адміністративних витрат -сума прямих витрат з урахуванням загальновиробничих витрат</t>
  </si>
  <si>
    <t xml:space="preserve">Для розрахунку використовується норма  тривалості робочого часу при 40-годинному робочому тижні </t>
  </si>
  <si>
    <t>Середньо-місячна прожитковий мінімум відповідно до Закону України "Про державний бюджет України на 2019 рік"</t>
  </si>
  <si>
    <t>Розрахунок середньомісячного прожиткового мінмуму в 2019 році</t>
  </si>
  <si>
    <t xml:space="preserve">Прожитковий мінімум </t>
  </si>
  <si>
    <t>дата</t>
  </si>
  <si>
    <t>розмір</t>
  </si>
  <si>
    <t>кільк.міс</t>
  </si>
  <si>
    <t>всього</t>
  </si>
  <si>
    <t>розмір середньоміс.мінімуму</t>
  </si>
  <si>
    <t>Шацьких А.І.</t>
  </si>
  <si>
    <r>
      <rPr>
        <b/>
        <sz val="12"/>
        <color theme="1"/>
        <rFont val="Times New Roman"/>
        <family val="1"/>
        <charset val="204"/>
      </rPr>
      <t>Цивільний Кодекс України частина 2 ст.382</t>
    </r>
    <r>
      <rPr>
        <sz val="12"/>
        <color theme="1"/>
        <rFont val="Times New Roman"/>
        <family val="1"/>
        <charset val="204"/>
      </rPr>
      <t xml:space="preserve">
Усі власники квартир та нежитлових приміщень у багатоквартирному будинку є співвласниками на праві спільної сумісної власності спільного майна багатоквартирного будинку. Спільним майном багатоквартирного будинку є приміщення загального користування (у тому числі допоміжні), несучі, огороджувальні та несуче-огороджувальні конструкції будинку, механічне, електричне, сантехнічне та інше обладнання всередині або за межами будинку, яке обслуговує більше одного житлового або нежитлового приміщення, а також будівлі і споруди, які призначені для задоволення потреб усіх співвласників багатоквартирного будинку та розташовані на прибудинковій території, а також права на земельну ділянку, на якій розташований багатоквартирний будинок та його прибудинкова територія, у разі державної реєстрації таких прав.</t>
    </r>
  </si>
  <si>
    <r>
      <rPr>
        <b/>
        <sz val="12"/>
        <color theme="1"/>
        <rFont val="Times New Roman"/>
        <family val="1"/>
        <charset val="204"/>
      </rPr>
      <t xml:space="preserve">ЗУ "Про особливості здійснення права власності у багатоквартирному будинку" п.2 ст.7 </t>
    </r>
    <r>
      <rPr>
        <sz val="12"/>
        <color theme="1"/>
        <rFont val="Times New Roman"/>
        <family val="1"/>
        <charset val="204"/>
      </rPr>
      <t xml:space="preserve">
Кожний співвласник несе зобов’язання щодо належного утримання, експлуатації, реконструкції, реставрації, поточного і капітального ремонтів, технічного переоснащення спільного майна багатоквартирного будинку пропорційно до його частки співвласника.</t>
    </r>
  </si>
  <si>
    <t>Витрати з прибирання прибудинкової території</t>
  </si>
  <si>
    <t xml:space="preserve">Калькуляція витрат на послугу  </t>
  </si>
  <si>
    <t>Кількість робочих днів в році (при шестиденному робочому тижні)</t>
  </si>
  <si>
    <t xml:space="preserve">територія з удосконаленим </t>
  </si>
  <si>
    <t xml:space="preserve">Заробітна плата двірника  </t>
  </si>
  <si>
    <t xml:space="preserve">Сума єдиного внеску на загальнообов'язкове державне соціальне страхування </t>
  </si>
  <si>
    <t>Накладні витрати</t>
  </si>
  <si>
    <t>Додаток №2  до розрахунку тарифів</t>
  </si>
  <si>
    <t>Розрахунок сум матеріальних витрат (спецодяг,інвентар для обслуговуючого персоналу, інші матеріальні витрати)</t>
  </si>
  <si>
    <t>Зведені показники вартості інструментів,спецодягу,інвентарю та іншіх матеріальних витрат</t>
  </si>
  <si>
    <t>Спецодяг, інвентар, інструменти *</t>
  </si>
  <si>
    <t>Інші матеріальні витрати **</t>
  </si>
  <si>
    <t>Річна вартість на 1 робітника</t>
  </si>
  <si>
    <t>Чисельність за нормами</t>
  </si>
  <si>
    <t>На розрахункову чисельність (на рік)</t>
  </si>
  <si>
    <t>На розрахункову чисельність (на місяць)</t>
  </si>
  <si>
    <t>На рік</t>
  </si>
  <si>
    <t>На місяць</t>
  </si>
  <si>
    <t>на місяць</t>
  </si>
  <si>
    <t>Двірник(територія)</t>
  </si>
  <si>
    <t>Двірник(зимове прибирання)</t>
  </si>
  <si>
    <t>Двірник для прибирання під'їзду</t>
  </si>
  <si>
    <t>Слюсар-сантехнік</t>
  </si>
  <si>
    <t>Електромонтер</t>
  </si>
  <si>
    <t>Підсобний робітник</t>
  </si>
  <si>
    <t>*   Залежно від чисельності робітників</t>
  </si>
  <si>
    <t>** Незалежно від чисельності робітників</t>
  </si>
  <si>
    <t>1. Норми видачі індивідуальних інструментів та спецодягу для робітників</t>
  </si>
  <si>
    <t>Професія</t>
  </si>
  <si>
    <t>Найменування інструмента</t>
  </si>
  <si>
    <t>Кількість на 1 робітника</t>
  </si>
  <si>
    <t>Од. вим.</t>
  </si>
  <si>
    <t>Ціна за одиницю</t>
  </si>
  <si>
    <t>Термін зносу (місяців)</t>
  </si>
  <si>
    <t>Кількість на рік (з урахуванням терміна зносу)</t>
  </si>
  <si>
    <t>Вартість на 1 рік</t>
  </si>
  <si>
    <t>віник</t>
  </si>
  <si>
    <t>совок</t>
  </si>
  <si>
    <t>лопата совкова</t>
  </si>
  <si>
    <t>відро</t>
  </si>
  <si>
    <t>граблі металеві</t>
  </si>
  <si>
    <t>мітли із синтетичного волокна</t>
  </si>
  <si>
    <t>рукавиці комбіновані</t>
  </si>
  <si>
    <t>пар</t>
  </si>
  <si>
    <t>рукавиці гумові</t>
  </si>
  <si>
    <t>спецкостюм</t>
  </si>
  <si>
    <t>Фартук з водонепроникної тканини</t>
  </si>
  <si>
    <t>жилет оранжевий</t>
  </si>
  <si>
    <t>Тілогрійка (куртка ватяна)</t>
  </si>
  <si>
    <t>Разом вартість інструментів та спецодягу на 1 рік</t>
  </si>
  <si>
    <t>Прибиральник</t>
  </si>
  <si>
    <t>швабра</t>
  </si>
  <si>
    <t>халат робітничий</t>
  </si>
  <si>
    <t>черевики робітничі</t>
  </si>
  <si>
    <t>ключ трубний №1</t>
  </si>
  <si>
    <t>ключ трубний №2</t>
  </si>
  <si>
    <t>ключ розвідний</t>
  </si>
  <si>
    <t>набір ключів гайкових двосторонніх (6  шт)</t>
  </si>
  <si>
    <t>молоток слюсарний</t>
  </si>
  <si>
    <t>зубило слюсарне</t>
  </si>
  <si>
    <t>викрутки (набір 7 шт)</t>
  </si>
  <si>
    <t>метр сталевий</t>
  </si>
  <si>
    <t>плоскогубці комбіновані</t>
  </si>
  <si>
    <t>костюм робітничий</t>
  </si>
  <si>
    <t>окуляри захисні закриті</t>
  </si>
  <si>
    <t>чоботи гумові</t>
  </si>
  <si>
    <t>куртка утеплена</t>
  </si>
  <si>
    <t>Штани утеплені</t>
  </si>
  <si>
    <t>ізольовані плоскогубці</t>
  </si>
  <si>
    <t>ізольовані викрутки(набір 6 шт)</t>
  </si>
  <si>
    <t>ізольовані круглогубці</t>
  </si>
  <si>
    <t>бокоріз</t>
  </si>
  <si>
    <t>тестер (вольтметр)</t>
  </si>
  <si>
    <t>ліхтар</t>
  </si>
  <si>
    <t>окуляри захисні відкриті</t>
  </si>
  <si>
    <t>рукавиці діелектричні</t>
  </si>
  <si>
    <t>галоши діелектричні</t>
  </si>
  <si>
    <t>куртка ватяна</t>
  </si>
  <si>
    <t>Каска захисна</t>
  </si>
  <si>
    <t>Вимірювач швидкості газових потоків</t>
  </si>
  <si>
    <t xml:space="preserve">Мановакууметр цифровий </t>
  </si>
  <si>
    <t>2. Розрахунок витрат матеріалів для прибирання (згідно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затвердженними Наказом Міністерства регіонального розвитку,будівництва та  житлово-комунального господарства України від 25 грудня 2013 року №603).</t>
  </si>
  <si>
    <t>2.1. Розрахунок витрати матеріалів для прибирання прибудинкової території</t>
  </si>
  <si>
    <t>Повторюван-ність (кількість прибирань) на рік</t>
  </si>
  <si>
    <t>Норма витрат на 100 кв.м.*</t>
  </si>
  <si>
    <t>Норма витрат на весь обсяг з урахуванням повторюванності</t>
  </si>
  <si>
    <t>Вода (м.куб.)</t>
  </si>
  <si>
    <t>Розчин мийний (кг.)</t>
  </si>
  <si>
    <t>Вартість</t>
  </si>
  <si>
    <t>Обсяг робіт ( площа газонів, м.кв.)</t>
  </si>
  <si>
    <t>Повторюван-ність на рік</t>
  </si>
  <si>
    <t>Норма витрат маш.-год. на 100 кв.м.</t>
  </si>
  <si>
    <t>Норма витрат на весь обсяг з урахуванням повторюванності (маш.-год.)</t>
  </si>
  <si>
    <t>Витрата матеріалів для роботи газонокосарки</t>
  </si>
  <si>
    <t>суцільного типу</t>
  </si>
  <si>
    <t>комбінованого типу</t>
  </si>
  <si>
    <t>масло (л.)</t>
  </si>
  <si>
    <t>паливо (л)</t>
  </si>
  <si>
    <t>Скошування трави газонокосилками (табл.№28-32)</t>
  </si>
  <si>
    <t>Норма витрати за техпаспортом (л/год) :</t>
  </si>
  <si>
    <t>ручними мотокосами бензиновим приводом</t>
  </si>
  <si>
    <t>Вартість матеріалів</t>
  </si>
  <si>
    <t>Запчастини 2,20 грн./год</t>
  </si>
  <si>
    <t>2.1. Розрахунок витрати матеріалів для прибирання сходових кліток</t>
  </si>
  <si>
    <t>Дрантя (кг.)</t>
  </si>
  <si>
    <t>Прибирання кабінетів, приймальних, залів засідань, дитячих кімнат та інших приміщень загального користування, до яких передбачений вільний доступ.</t>
  </si>
  <si>
    <t>1-58-1</t>
  </si>
  <si>
    <t>Прибирання холів,коридорів, вестибюлів, галерей та інших приміщень загального користівання, до яких передбачений вільний доступ.</t>
  </si>
  <si>
    <t>1-59-1</t>
  </si>
  <si>
    <t>Миття вікон з легким доступом</t>
  </si>
  <si>
    <t>Звичайна конфігурація, суцільне скло</t>
  </si>
  <si>
    <t>1-60-1</t>
  </si>
  <si>
    <t>Звичайна конфігурація, не більше п'яти чарунок</t>
  </si>
  <si>
    <t>1-60-2</t>
  </si>
  <si>
    <t>Звичайна конфігурація, більше п'яти чарунок</t>
  </si>
  <si>
    <t>1-60-3</t>
  </si>
  <si>
    <t>Складна конфігурація</t>
  </si>
  <si>
    <t>1-60-4</t>
  </si>
  <si>
    <t>Суцільне скло вітринного типу</t>
  </si>
  <si>
    <t>1-60-5</t>
  </si>
  <si>
    <t>Суцільне скло вітринного типу, не більше п'яти чарунок</t>
  </si>
  <si>
    <t>1-60-6</t>
  </si>
  <si>
    <t>Суцільне скло вітринного типу, більше п'яти чарунок</t>
  </si>
  <si>
    <t>1-60-7</t>
  </si>
  <si>
    <t>Миття вікон з ускладненим доступом</t>
  </si>
  <si>
    <t>1-61-1</t>
  </si>
  <si>
    <t>1-61-2</t>
  </si>
  <si>
    <t>1-61-3</t>
  </si>
  <si>
    <t>1-61-4</t>
  </si>
  <si>
    <t>1-61-5</t>
  </si>
  <si>
    <t>1-61-6</t>
  </si>
  <si>
    <t>1-61-7</t>
  </si>
  <si>
    <t>Змітання пилу зі стелі</t>
  </si>
  <si>
    <t>1-62-1</t>
  </si>
  <si>
    <t xml:space="preserve">Вологе протирання </t>
  </si>
  <si>
    <t>Стіни</t>
  </si>
  <si>
    <t>1-63-1</t>
  </si>
  <si>
    <t>Двері</t>
  </si>
  <si>
    <t>1-63-2</t>
  </si>
  <si>
    <t>Підвіконня</t>
  </si>
  <si>
    <t>1-63-3</t>
  </si>
  <si>
    <t>Віконні огородження, грати</t>
  </si>
  <si>
    <t>1-64-1</t>
  </si>
  <si>
    <t>Поручні</t>
  </si>
  <si>
    <t>1-64-2</t>
  </si>
  <si>
    <t>Огородження ліфтових шахт з металевої сітки</t>
  </si>
  <si>
    <t>1-64-4</t>
  </si>
  <si>
    <t>Опалювальні радіатори (шт.)</t>
  </si>
  <si>
    <t>1-65-1</t>
  </si>
  <si>
    <t>Індивідуальні поштові скриньки, шафи і дверцята електрощитів, корпусів та дверцята електричних пристроїв усіх типів</t>
  </si>
  <si>
    <t>1-65-3</t>
  </si>
  <si>
    <t>Плафони (шт.)</t>
  </si>
  <si>
    <t>1-66-1</t>
  </si>
  <si>
    <t>Вологе підмітання сходових кліток і маршів перших трьох поверхів</t>
  </si>
  <si>
    <t>Вологе підмітання сходових кліток і маршів вище третього поверху</t>
  </si>
  <si>
    <t>Вологе підмітання місць перед завантажувальними камерами сміттєпроводів</t>
  </si>
  <si>
    <t>Миття сходових кліток і маршів перших трьох поверхів</t>
  </si>
  <si>
    <t>Миття сходових кліток і маршів вище третього поверху</t>
  </si>
  <si>
    <t>Прибирання туалету в приміщені</t>
  </si>
  <si>
    <t>1-73-1</t>
  </si>
  <si>
    <t xml:space="preserve">Підмітання підлоги кабіни ліфта </t>
  </si>
  <si>
    <t>1-74-1</t>
  </si>
  <si>
    <t xml:space="preserve">Миття підлоги кабіни ліфта </t>
  </si>
  <si>
    <t>1-74-2</t>
  </si>
  <si>
    <t>Протирання стін і дверей кабіни ліфта</t>
  </si>
  <si>
    <t>1-74-3</t>
  </si>
  <si>
    <t xml:space="preserve">Миття стін і дверей кабіни ліфта </t>
  </si>
  <si>
    <t>1-74-4</t>
  </si>
  <si>
    <t xml:space="preserve">РАЗОМ </t>
  </si>
  <si>
    <t>* - для вікон - на 100 кв.м. скла з одного біку, для радіаторів - на 100 шт., для плафонів - на 10 шт.</t>
  </si>
  <si>
    <t>2.2. Розрахунок витрати матеріалів для прибирання горищ та підвалів.</t>
  </si>
  <si>
    <t>Перелік робіт / ступінь наповненості</t>
  </si>
  <si>
    <t>Дрантя(кг.)</t>
  </si>
  <si>
    <t>Підмітання горищ,підвалів</t>
  </si>
  <si>
    <t>1-57-1</t>
  </si>
  <si>
    <t>1-57-2</t>
  </si>
  <si>
    <t>1-57-3</t>
  </si>
  <si>
    <t>1-57-4</t>
  </si>
  <si>
    <t>2.2. Розрахунок витрати матеріалів на посипання території піском</t>
  </si>
  <si>
    <t>Обсяг робіт  (площа посипання)  м.кв.</t>
  </si>
  <si>
    <t>Пісок природний рядовий (м.куб.)</t>
  </si>
  <si>
    <t>1-20-1</t>
  </si>
  <si>
    <t>1-20-2</t>
  </si>
  <si>
    <t>1-20-3</t>
  </si>
  <si>
    <t>ломик</t>
  </si>
  <si>
    <t>чоботи</t>
  </si>
  <si>
    <t>мило господарче</t>
  </si>
  <si>
    <t>Амортизація   0,0178 грн/м2</t>
  </si>
  <si>
    <t>норма  на 1 год. Роботи</t>
  </si>
  <si>
    <r>
      <rPr>
        <b/>
        <sz val="12"/>
        <color theme="1"/>
        <rFont val="Times New Roman"/>
        <family val="1"/>
        <charset val="204"/>
      </rPr>
      <t>Закон  про приватизацію житла частина 2 ст. 10</t>
    </r>
    <r>
      <rPr>
        <sz val="12"/>
        <color theme="1"/>
        <rFont val="Times New Roman"/>
        <family val="1"/>
        <charset val="204"/>
      </rPr>
      <t xml:space="preserve">
" Власники  квартир  багатоквартирних  будинків та житлових приміщень  у  гуртожитку  є  співвласниками допоміжних приміщень у будинку    чи   гуртожитку,   технічного   обладнання,   елементів зовнішнього  благоустрою  і  зобов'язані  брати участь у загальних витратах,   пов'язаних   з   утриманням  будинку  і  прибудинкової 
території   відповідно   до   своєї  частки  у  майні  будинку  чи гуртожитках.  Допоміжні  приміщення  (кладовки,  сараї  і  т. ін.) передаються  у  власність  квартиронаймачів  безоплатно  і  окремо приватизації не підлягають."</t>
    </r>
  </si>
  <si>
    <t>Матеріальні витрати</t>
  </si>
  <si>
    <t>Обов'язкові платежі до бюджету</t>
  </si>
  <si>
    <t>Собівартість послуги  за 1 кв.м. в місяць</t>
  </si>
  <si>
    <t>Витрати на місяць</t>
  </si>
  <si>
    <t xml:space="preserve">Кількість електроенергії,що використовується для освітлення місць загального користування, підвальних приміщень та підкачування води в розрахунку на місяць (Не) </t>
  </si>
  <si>
    <t>кВт * г</t>
  </si>
  <si>
    <t>2. Розрахунок накладних витрат.</t>
  </si>
  <si>
    <t>Загальна база для розподілу накладних витрат , грн. в міс.</t>
  </si>
  <si>
    <t>База для розрахунку накладних витрат на освітлення місць загального користування і підвалів та підкачування води, грн.</t>
  </si>
  <si>
    <t>Доля накладних витрат на освітлення місць загального користування і підвалів та підкачування води, грн. в міс. (гр.4*гр.5)/100</t>
  </si>
  <si>
    <t>Витрати  з  освітлення  місць  загального  користування</t>
  </si>
  <si>
    <t>ВСЬОГО витрат</t>
  </si>
  <si>
    <t>Собівартість за 1 кв.м. в місяць</t>
  </si>
  <si>
    <t>Тариф на 1 кВт*г електроенергії</t>
  </si>
  <si>
    <t xml:space="preserve">Накладні витрати </t>
  </si>
  <si>
    <t xml:space="preserve">Середньомісячні витрати </t>
  </si>
  <si>
    <t>Аварійна служба</t>
  </si>
  <si>
    <t>1.Розрахунок чисельності сантехників</t>
  </si>
  <si>
    <t>Для розрахунку використовується норма  тривалості робочого часу при 40-годинному робочому тижні (п'ятидневний робочий тиждень з двома вихідними днями в суботу та неділю)</t>
  </si>
  <si>
    <t>робочих днів</t>
  </si>
  <si>
    <t>Обсяг робіт</t>
  </si>
  <si>
    <t>Повторюван-ність в рік</t>
  </si>
  <si>
    <r>
      <t xml:space="preserve">Витрати праці слюсаря-сантехніка 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</si>
  <si>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(гр.4/3 * гр.5*гр.6)</t>
  </si>
  <si>
    <t>Санітарно-технічне обслуговування внутрішньобудинкової систем</t>
  </si>
  <si>
    <t>Огляд обладнання системи централізованого опалення</t>
  </si>
  <si>
    <t>100 пог.м.</t>
  </si>
  <si>
    <t>1-75-1</t>
  </si>
  <si>
    <t>1.2.</t>
  </si>
  <si>
    <t>Огляд обладнання системи  холодного водопостачання</t>
  </si>
  <si>
    <t>100 шт.</t>
  </si>
  <si>
    <t>1.4.</t>
  </si>
  <si>
    <t>Огляд запірно-регулювальної арматури централізованого опалення на горищних та у підвальних приміщеннях</t>
  </si>
  <si>
    <t>1-78-1</t>
  </si>
  <si>
    <t>1.5.</t>
  </si>
  <si>
    <t>Огляд системи водовідведення</t>
  </si>
  <si>
    <t>1-79-1</t>
  </si>
  <si>
    <t>2.</t>
  </si>
  <si>
    <t>Система централізованого опалення</t>
  </si>
  <si>
    <t>2.1.</t>
  </si>
  <si>
    <t>Регулювання та гідравлічне випробовування систем централізованого опалення</t>
  </si>
  <si>
    <t>2.1</t>
  </si>
  <si>
    <t xml:space="preserve">Консервація або розконскрвація системи централізованого опалення </t>
  </si>
  <si>
    <t>1-81-1</t>
  </si>
  <si>
    <t>2.2.</t>
  </si>
  <si>
    <t>Огляд та запускання системи, загальна перевірка працездатності системи</t>
  </si>
  <si>
    <t>1-81-2</t>
  </si>
  <si>
    <t>2.3.</t>
  </si>
  <si>
    <t>Гідравлічне випробовування трубопроводів</t>
  </si>
  <si>
    <t>1-82-1</t>
  </si>
  <si>
    <t>2.4.</t>
  </si>
  <si>
    <t>Випробовування вузлів управліня</t>
  </si>
  <si>
    <t>1шт.</t>
  </si>
  <si>
    <t>1-82-2</t>
  </si>
  <si>
    <t>Випробовування водопідігрівачів, радіаторів</t>
  </si>
  <si>
    <t>1-82-3</t>
  </si>
  <si>
    <t>2.5.</t>
  </si>
  <si>
    <t>Промивання трубопроводів та приладів систем централізованого опалення</t>
  </si>
  <si>
    <t>Промивання трубопроводів, діам. до 40 мм</t>
  </si>
  <si>
    <t>1-83-1</t>
  </si>
  <si>
    <t>Промивання трубопроводів, діам. до 100 мм</t>
  </si>
  <si>
    <t>1-83-2</t>
  </si>
  <si>
    <t>Промивання опалювального приладу (радіатору)</t>
  </si>
  <si>
    <t>1-83-3</t>
  </si>
  <si>
    <t>Усунення течі в трубопроводах, приладах та арматурі</t>
  </si>
  <si>
    <t>пог.м.</t>
  </si>
  <si>
    <t>2.6</t>
  </si>
  <si>
    <t>Очищення трубопроводу  діам.до 50 мм</t>
  </si>
  <si>
    <t>1-86-1</t>
  </si>
  <si>
    <t>Очищення трубопроводу  діам.до 80 мм</t>
  </si>
  <si>
    <t>1-86-2</t>
  </si>
  <si>
    <t>Очищення трубопроводу  діам.до 110 мм</t>
  </si>
  <si>
    <t>1-86-3</t>
  </si>
  <si>
    <t>Очищення грязьовиків</t>
  </si>
  <si>
    <t>1-87-4</t>
  </si>
  <si>
    <t>Поновлення сальникових ущільнень на вентилях</t>
  </si>
  <si>
    <t>1 опер.</t>
  </si>
  <si>
    <t>1-99-2</t>
  </si>
  <si>
    <t>Відновлення ізоляції опалювальних труб</t>
  </si>
  <si>
    <t>10 м.</t>
  </si>
  <si>
    <t>1-106-1</t>
  </si>
  <si>
    <t>Огляд та очищення конденсаційних горщиків, інжекторів, елеваторів, змішувачів, редукційних клапанів, регулювальних кранів та вентилів, засувок, грязьовиків, повітрозбірників, компенсаторів, вантузів у міжопалювальний період</t>
  </si>
  <si>
    <t>Очищення від накипу запірної арматури</t>
  </si>
  <si>
    <t>Закріплення трубопроводів</t>
  </si>
  <si>
    <t>Заміна кронштейна для труб та приладів</t>
  </si>
  <si>
    <t>1-84-1</t>
  </si>
  <si>
    <t>Заміна гачка для труб та приладів</t>
  </si>
  <si>
    <t>1-84-2</t>
  </si>
  <si>
    <t>Консервація системи централізованого опалення</t>
  </si>
  <si>
    <t>2.7</t>
  </si>
  <si>
    <t>Розконсервація системи централізованого опалення</t>
  </si>
  <si>
    <t>2.8</t>
  </si>
  <si>
    <t>Оглядання та підтягування на трубах контргайок, муфт або їх заміна в опалювальний період</t>
  </si>
  <si>
    <t>1 з'єднання</t>
  </si>
  <si>
    <t>1-85-1</t>
  </si>
  <si>
    <t>Заміна прокладок у фланцевих з'єднаннях</t>
  </si>
  <si>
    <t>Перевірка контрольно-вимірювальних приладів</t>
  </si>
  <si>
    <t>1 прилад</t>
  </si>
  <si>
    <t>1-93-2</t>
  </si>
  <si>
    <t>Очищення від бруду та іржі розширювального бака, часткове відновлення його теплоізоляції</t>
  </si>
  <si>
    <t>Протирання пробкових кранів</t>
  </si>
  <si>
    <t>Ліквідація повітряних пробок в системі централізованого опалення</t>
  </si>
  <si>
    <t>3.</t>
  </si>
  <si>
    <t>Системи холодного водопостачання, водовідведення</t>
  </si>
  <si>
    <t>3.1.</t>
  </si>
  <si>
    <t>Регулювання та гідравлічне випробовування систем водопостачання</t>
  </si>
  <si>
    <t>Ущільнення згонів</t>
  </si>
  <si>
    <t xml:space="preserve">Усунення засмічень водовідведення </t>
  </si>
  <si>
    <t>Система водовідведення, діам. до 100 мм.</t>
  </si>
  <si>
    <t>1-91-5</t>
  </si>
  <si>
    <t>Система водовідведення, діам. до 50 мм</t>
  </si>
  <si>
    <t>1-91-3</t>
  </si>
  <si>
    <t>Система водовідведення, діам. до 100 мм</t>
  </si>
  <si>
    <t>1м</t>
  </si>
  <si>
    <t>1-91-6</t>
  </si>
  <si>
    <t>Протирання пробкових кранів змішувачів</t>
  </si>
  <si>
    <t>Поновлення сальникових ущільнень на вентилях, діам. до 50 мм.</t>
  </si>
  <si>
    <t>1-99-1</t>
  </si>
  <si>
    <t>2.10</t>
  </si>
  <si>
    <t>Заміна прокладки каналізаційної ревізії</t>
  </si>
  <si>
    <t>1-94-1</t>
  </si>
  <si>
    <t>2.11</t>
  </si>
  <si>
    <t>Закарбування розтруба каналізаційних труб діам. до 50 мм.</t>
  </si>
  <si>
    <t>1-96-1</t>
  </si>
  <si>
    <t>Закарбування розтруба каналізаційних труб діам. до 100 мм.</t>
  </si>
  <si>
    <t>1-96-3</t>
  </si>
  <si>
    <t>Усунення повітряної пробки</t>
  </si>
  <si>
    <t>1-101-1</t>
  </si>
  <si>
    <t>Лічильник тепла</t>
  </si>
  <si>
    <t>Знімання та установлення лічильника тепла ( повірка)</t>
  </si>
  <si>
    <t>Разом</t>
  </si>
  <si>
    <t>2.Розрахунок заробітної плати сантехніка</t>
  </si>
  <si>
    <t>Кількість штатних одиниць:     гр.2 / гр.3</t>
  </si>
  <si>
    <t>Заробітна плата сантехніка в місяць      (гр.4 х гр.5), грн.</t>
  </si>
  <si>
    <t>Сума премії, грн.</t>
  </si>
  <si>
    <t xml:space="preserve">3.Розрахунок накладних витрат </t>
  </si>
  <si>
    <t>База для розрахунку накладних витрат на обслуговування внутрішньо-будинкових систем, грн.</t>
  </si>
  <si>
    <t>Доля накладних витрат на обслугову-вання внутрішньобудинкових систем, грн. в міс. (гр.4*гр.5)/100</t>
  </si>
  <si>
    <t>назва матеріалу</t>
  </si>
  <si>
    <t>кільк.
Шт</t>
  </si>
  <si>
    <t>потреба в рік
шт</t>
  </si>
  <si>
    <t>вартість за один без ПДВ,грн</t>
  </si>
  <si>
    <t>Витрати в рік, грн</t>
  </si>
  <si>
    <t>Середньомісячні
витрати, грн</t>
  </si>
  <si>
    <t>код
норми</t>
  </si>
  <si>
    <t>Силікон</t>
  </si>
  <si>
    <t>1-96</t>
  </si>
  <si>
    <t>Пакля ( 8грм)</t>
  </si>
  <si>
    <t>КП " Житлово-експлуатаційна контора"</t>
  </si>
  <si>
    <t>Витрати з технічного обслуговування внутрішьобудинкових мереж</t>
  </si>
  <si>
    <t xml:space="preserve">Заробітна плата сантехніка </t>
  </si>
  <si>
    <t xml:space="preserve">Сума єдиного внеску на загальнообов'язкове державне соціальне страхування  </t>
  </si>
  <si>
    <t xml:space="preserve">Матеріальні витрати </t>
  </si>
  <si>
    <t>Вартість обслуговування одного димового каналу відповідно договору</t>
  </si>
  <si>
    <t>Вартість обслуговування одного вентиляційного каналу відповідно договору</t>
  </si>
  <si>
    <t>Загальна вартість обслуговування димових та вентиляційних каналів відповідно договору</t>
  </si>
  <si>
    <t>кв.м.</t>
  </si>
  <si>
    <t>1.</t>
  </si>
  <si>
    <t>Розрахунок чисельності пічників</t>
  </si>
  <si>
    <t xml:space="preserve">Найменування елементів будинку  </t>
  </si>
  <si>
    <t>Норма</t>
  </si>
  <si>
    <t>Опалювальні печі і домашні вогнища(включаючи димові канали)</t>
  </si>
  <si>
    <t>Вентиляційні канали і канали для відведення продуктів згоряння газу в нагрівальних приладах і газифікованих печах</t>
  </si>
  <si>
    <t>Розрахунок заробітної плати пічника</t>
  </si>
  <si>
    <t>Об'єкт обслуговування</t>
  </si>
  <si>
    <t>Кількість по будинку</t>
  </si>
  <si>
    <t>Нормативна кількість завантаження на 1 пічника, шт.</t>
  </si>
  <si>
    <t>Посадовий оклад пічника (див.дод.№1 )</t>
  </si>
  <si>
    <t>Заробітна плата пічника в місяць      (гр.4 х гр.5)    грн.</t>
  </si>
  <si>
    <t>Опалювальні печі і домашні вогнища (включаючи димові канали)</t>
  </si>
  <si>
    <t>Вентиляційні канали</t>
  </si>
  <si>
    <t>3.Розрахунок накладних витрат.</t>
  </si>
  <si>
    <t>База для розрахунку накладних витрат на обслуговування димових та вентиляційних каналів, грн.</t>
  </si>
  <si>
    <t>Доля накладних витрат обслуговування димових та вентиляційних каналів, грн. в міс. (гр.4*гр.5)/100</t>
  </si>
  <si>
    <t>Заробітна плата пічника</t>
  </si>
  <si>
    <t xml:space="preserve">Фактична кількість димових каналів </t>
  </si>
  <si>
    <t>Нормативна кількість димових каналів</t>
  </si>
  <si>
    <t xml:space="preserve">Фактична кількість вентиляційних каналів </t>
  </si>
  <si>
    <t xml:space="preserve">Нормативна кількість вентиляційних каналів </t>
  </si>
  <si>
    <t>Всього витрат</t>
  </si>
  <si>
    <t>Поточний ремонт</t>
  </si>
  <si>
    <t>Витрати на поточний ремонт згідно кошториса.</t>
  </si>
  <si>
    <t xml:space="preserve">2.Розрахунок накладних витрат </t>
  </si>
  <si>
    <t>Загальна база для розподілу накладних витрат , грн. в міс..</t>
  </si>
  <si>
    <t>База для розрахунку накладних витрат на поточний ремонт, грн.</t>
  </si>
  <si>
    <t>Доля накладних витрат , грн. в міс. (гр.4*гр.5)/100</t>
  </si>
  <si>
    <t>Кошторис витрат на поточний ремонт</t>
  </si>
  <si>
    <t>Найменування робіт</t>
  </si>
  <si>
    <t>Витрати на оплату праці</t>
  </si>
  <si>
    <t>Метеріальні 
витрати</t>
  </si>
  <si>
    <t>" Поточний ремонт конструктивних елементів, технічних пристроїв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будинку."</t>
  </si>
  <si>
    <t xml:space="preserve">Заробітна плата робітників, зайнятих поточним ремонтом конструктивних елементів та елементів зовнішнього упорядження  </t>
  </si>
  <si>
    <t>Заробітна плата робітників, зайнятих поточним ремонтом внутрішньобудинкових мереж.</t>
  </si>
  <si>
    <t>1.Розрахунок чисельності прибиральників</t>
  </si>
  <si>
    <r>
      <t xml:space="preserve">Розрахунок чисельності прибиральників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розвитку,будівництва та  житлово-комунального господарства України від 25 грудня 2013 року №603).</t>
    </r>
  </si>
  <si>
    <t>Обсяг робіт  (площа прибирання)  м.кв./ шт.</t>
  </si>
  <si>
    <r>
      <t xml:space="preserve">Витрати праці робітника з комплексного прибирання та утримання будинків з прилеглими територіями згідно норм на 100 кв.м. площі(люд./год)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</si>
  <si>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(гр.3/100 * гр.4*гр.5)</t>
  </si>
  <si>
    <t>Підмітання , прибирання і транспортування  сміття в контейнер</t>
  </si>
  <si>
    <t>63-66</t>
  </si>
  <si>
    <t>2.Розрахунок заробітної плати прибиральника</t>
  </si>
  <si>
    <t>Посадовий оклад прибиральника          (див.дод.№1 )</t>
  </si>
  <si>
    <t>Заробітна плата прибиральника в місяць      (гр.4 х гр.5)    грн.</t>
  </si>
  <si>
    <t>Заробітна плата прибиральника  з урахуванням відпустки(9%), грн.</t>
  </si>
  <si>
    <t>Рівень накладних витрат, %   (гр.2 / гр.3*100)</t>
  </si>
  <si>
    <t>База для розрахунку накладних витрат на прибирання сходових клітин, грн.</t>
  </si>
  <si>
    <t>Доля накладних витрат на прибирання сходових клітин, грн. в міс. (гр.4*гр.5)/100</t>
  </si>
  <si>
    <t>" Прибирання приміщень загального користування ( у тому числі допоміжних)"</t>
  </si>
  <si>
    <t>Витрати з прибирання приміщень</t>
  </si>
  <si>
    <t xml:space="preserve">Заробітна плата   </t>
  </si>
  <si>
    <t>4.1</t>
  </si>
  <si>
    <t>Спецодяг, інвентар</t>
  </si>
  <si>
    <t>4.2</t>
  </si>
  <si>
    <t>Суміш для посипання території</t>
  </si>
  <si>
    <t>Площа прибудинкової території, яка прибирається механізованим способом (Ппт)</t>
  </si>
  <si>
    <t>Норматив (норма) прибирання одиниці площі прибудинкової території спеціалізованими машинами (механізмами) (Нпрт)</t>
  </si>
  <si>
    <t>маш.год. \ кв.м.</t>
  </si>
  <si>
    <t>Вартість машино-години роботи спеціалізованих машин (механизмів) (Вм1)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</si>
  <si>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№603).</t>
    </r>
  </si>
  <si>
    <t>Зсування снігу, який щойно випав, товщиною шару понад 2 см.</t>
  </si>
  <si>
    <t>територія з удосконаленим покриттям, клас I</t>
  </si>
  <si>
    <t>1-2-1</t>
  </si>
  <si>
    <t>територія з удосконаленим покриттям, клас III</t>
  </si>
  <si>
    <t>1-2-3</t>
  </si>
  <si>
    <t>територія з неудосконаленим покриттям, клас I</t>
  </si>
  <si>
    <t>1-2-4</t>
  </si>
  <si>
    <t>територія з неудосконаленим покриттям, клас II</t>
  </si>
  <si>
    <t>1-2-5</t>
  </si>
  <si>
    <t>територія з неудосконаленим покриттям, клас III</t>
  </si>
  <si>
    <t>1-2-6</t>
  </si>
  <si>
    <t>Підмітання снігу, згрібання снігу докупи в вали, клас І</t>
  </si>
  <si>
    <t>1-1-1</t>
  </si>
  <si>
    <t>територія без покриття, клас II</t>
  </si>
  <si>
    <t>1-2-8</t>
  </si>
  <si>
    <t>територія без покриття, клас III</t>
  </si>
  <si>
    <t>1-2-9</t>
  </si>
  <si>
    <t>Підготування суміші піску з хлоридами</t>
  </si>
  <si>
    <t>Підготування суміші піску з хлоридами (просіювання піску крізь сито; розмішування з хлоридами)</t>
  </si>
  <si>
    <t>1-18-1</t>
  </si>
  <si>
    <t>Очищення від снігу, який щойно випав ( східці)</t>
  </si>
  <si>
    <t>1-3-1</t>
  </si>
  <si>
    <t>Очищення територій від полою</t>
  </si>
  <si>
    <t>1-9-1</t>
  </si>
  <si>
    <t>Очищення контейнерного майданчику від снігу та полою</t>
  </si>
  <si>
    <t>1-13-1</t>
  </si>
  <si>
    <t>Заробітна плата двірника  з урахуванням відпустки(9%), грн.</t>
  </si>
  <si>
    <t>База для розрахунку накладних витрат на зимове прибирання прибудинкової території, грн.</t>
  </si>
  <si>
    <t>Доля накладних витрат на зимове прибирання прибудинкової території, грн. в міс. (гр.4*гр.5)/100</t>
  </si>
  <si>
    <t>Адміністативні витрати</t>
  </si>
  <si>
    <t>4.Розрахунок потреби суміші для посипання території</t>
  </si>
  <si>
    <t>Найменування</t>
  </si>
  <si>
    <t>Витрати суміші для посипання території на 100 кв.м</t>
  </si>
  <si>
    <t>Потреба суміші в рік, 
гр2/100*гр3*гр4,
м3</t>
  </si>
  <si>
    <t>Вартість суміші,
1м3</t>
  </si>
  <si>
    <t>Вартість суміші в рік, грн</t>
  </si>
  <si>
    <t>Суміш</t>
  </si>
  <si>
    <t>Витрати з прибирання снігу</t>
  </si>
  <si>
    <t>Заробітна плата двірника</t>
  </si>
  <si>
    <t>Річний фонд робочого часу на 2019 рік</t>
  </si>
  <si>
    <t>Разом витрат із зимового прибирання прибудинкової території ручним способом</t>
  </si>
  <si>
    <t xml:space="preserve">Разом витрат із зимового прибирання прибудинкової території механізованим способом </t>
  </si>
  <si>
    <t>Вартість роботи машино-години трактора</t>
  </si>
  <si>
    <t>Данні для розрахунку</t>
  </si>
  <si>
    <t>Загальна база для розподілу накладних витрат, грн. в міс.</t>
  </si>
  <si>
    <t>База для розрахунку накладних витрат на дератизацію , грн.</t>
  </si>
  <si>
    <t>Доля накладних витрат на дератизацію, грн. в міс. (гр.4*гр.5)/100</t>
  </si>
  <si>
    <t xml:space="preserve">Площа підвалу(першого поверху) житлового будинку  </t>
  </si>
  <si>
    <t>" ДЕРАТИЗАЦІЯ "</t>
  </si>
  <si>
    <t xml:space="preserve">Середньомісячний тариф на проведення дератизаційних робіт     (на 1 кв. метр площі дератизації) </t>
  </si>
  <si>
    <t>Середньомісяч-
ні витрати</t>
  </si>
  <si>
    <t>" Технічне обслуговування ліфтів"</t>
  </si>
  <si>
    <t xml:space="preserve">Вартість обслуговування(без електроенергії) одного ліфта з розрахунку на місяць (обчислюється відповідно до Порядку встановлення вартості технічного обслуговування ліфтів та систем дисперчеризації,затвердженного центральним органом виконавчої влади з питань житлово-комунального господарства) </t>
  </si>
  <si>
    <t>Ліфт прив.</t>
  </si>
  <si>
    <t>коеф. прив.</t>
  </si>
  <si>
    <t xml:space="preserve">Кількість ліфтів у житловому будинку(гуртожитку) </t>
  </si>
  <si>
    <t xml:space="preserve">Загальна вартість обслуговування ліфтів </t>
  </si>
  <si>
    <t>2. Розрахунок накладних витрат</t>
  </si>
  <si>
    <t>База для розрахунку накладних витрат на обслуговування систем диспетчеризації, грн.</t>
  </si>
  <si>
    <t>Доля накладних витрат на обслуговування систем диспетчеризації, грн. в міс. (гр.4*гр.5)/100</t>
  </si>
  <si>
    <t xml:space="preserve">Заробітна плата операторів з диспетчерського обслуговування ліфтів  </t>
  </si>
  <si>
    <t>" Обслуговування систем диспетчеризації"</t>
  </si>
  <si>
    <t xml:space="preserve">рукавиці 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</si>
  <si>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</si>
  <si>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r>
      <t xml:space="preserve">Розрахунок чисельності 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 будівництва та  житлово-комунального господарства України від 25 грудня 2013 року №603).</t>
    </r>
  </si>
  <si>
    <t>Найменування робіт, прослуг</t>
  </si>
  <si>
    <t xml:space="preserve">періодичність </t>
  </si>
  <si>
    <t>Технічне обслуговування внутрішньобудинкових систем :</t>
  </si>
  <si>
    <t>водопостачання та водовідведення</t>
  </si>
  <si>
    <t>2 рази на рік</t>
  </si>
  <si>
    <t>Усунення засмідчень водовідведення</t>
  </si>
  <si>
    <t>Закарбування розтруба каналізаційних труб</t>
  </si>
  <si>
    <t>Усунення  протікань в трубопроводах, приладах та арматурі</t>
  </si>
  <si>
    <t>1.2</t>
  </si>
  <si>
    <t>1.1</t>
  </si>
  <si>
    <t>теплопостачання</t>
  </si>
  <si>
    <t>консервація та розконсервація системи</t>
  </si>
  <si>
    <t>огляд обладнання системи, запірно-регулювальної арматури централізованого опалення у підвальних приміщеннях</t>
  </si>
  <si>
    <t>запускання системи та перевірка працездатності системи</t>
  </si>
  <si>
    <t>гідравлічне випробовування трубопроводів</t>
  </si>
  <si>
    <t>випробовування вузлів упраління</t>
  </si>
  <si>
    <t>1.3</t>
  </si>
  <si>
    <t>зливова каналізація</t>
  </si>
  <si>
    <t>усунення протікань</t>
  </si>
  <si>
    <t>огляди</t>
  </si>
  <si>
    <t>двічі на рік</t>
  </si>
  <si>
    <t xml:space="preserve">позачергові огляди </t>
  </si>
  <si>
    <t>у разі необхідності</t>
  </si>
  <si>
    <t>усунення засмічень</t>
  </si>
  <si>
    <t>1.4</t>
  </si>
  <si>
    <t>електропостачання</t>
  </si>
  <si>
    <t>огляд ввідно-розподільного пристрою</t>
  </si>
  <si>
    <t>огляд стану освітлювальної арматури</t>
  </si>
  <si>
    <t>огляд квартирних електрощитків</t>
  </si>
  <si>
    <t>огляд електрощитової</t>
  </si>
  <si>
    <t>один раз на рік</t>
  </si>
  <si>
    <t>заміна пошкоджених ділянок електричних мереж</t>
  </si>
  <si>
    <t>заміна стінного або стельового патрона</t>
  </si>
  <si>
    <t>обсуговування та заміна вимикачів</t>
  </si>
  <si>
    <t>заміна запобіжників, автоматичних вимикачів</t>
  </si>
  <si>
    <t>заміна ключів керування</t>
  </si>
  <si>
    <t>вимірювання опору ізоляції</t>
  </si>
  <si>
    <t>1.5</t>
  </si>
  <si>
    <t>газопостачання</t>
  </si>
  <si>
    <t>Обсуговування систем диспетчеризації</t>
  </si>
  <si>
    <t>Згідно з графіком</t>
  </si>
  <si>
    <t>Цілодобово</t>
  </si>
  <si>
    <t>шість разів на тиждень</t>
  </si>
  <si>
    <t>скошування трави</t>
  </si>
  <si>
    <t>підмітання території</t>
  </si>
  <si>
    <t>два рази в рік</t>
  </si>
  <si>
    <t>один раз на тиждень</t>
  </si>
  <si>
    <t>прибирання території від опалого листя</t>
  </si>
  <si>
    <t>один раз в рік</t>
  </si>
  <si>
    <t>прибирання контейнерних майданчиків</t>
  </si>
  <si>
    <t>?????????????</t>
  </si>
  <si>
    <t>зсування снігу</t>
  </si>
  <si>
    <t>підмітання снігу</t>
  </si>
  <si>
    <t>посипання території піском</t>
  </si>
  <si>
    <t>згідно з графіком</t>
  </si>
  <si>
    <t>СТРУКТУРА, ПЕРІОДИЧНІСТЬ НАДАННЯ ПОСЛУГ З УТРИМАННЯ БУДИНКІВ ТА ПРИБУДИНКОВИХ ТЕРИТОРІЙ</t>
  </si>
  <si>
    <t>Огляд обладнання системи</t>
  </si>
  <si>
    <t xml:space="preserve">обслуговування аврійною службою </t>
  </si>
  <si>
    <t>цілодобова</t>
  </si>
  <si>
    <t>2.5</t>
  </si>
  <si>
    <t>2.9</t>
  </si>
  <si>
    <t xml:space="preserve">Плановий тариф орієнтовно введення в травні 2019 року </t>
  </si>
  <si>
    <t>Сантехнічні роботи</t>
  </si>
  <si>
    <t>Мережі електропостачання</t>
  </si>
  <si>
    <t>Технічний огляд системи електропостачання</t>
  </si>
  <si>
    <t>Огляд ввідно-розподільного пристрою</t>
  </si>
  <si>
    <t>1 щиток</t>
  </si>
  <si>
    <t>1-120-1</t>
  </si>
  <si>
    <t>Огляд електропроводки та арматури в підвалах та інших приміщенях (крім електрощитових)</t>
  </si>
  <si>
    <t>10 пог.м.</t>
  </si>
  <si>
    <t>1-120-2</t>
  </si>
  <si>
    <t>Огляд стану освітлювальної арматури</t>
  </si>
  <si>
    <t>1 поверх</t>
  </si>
  <si>
    <t>1-120-3</t>
  </si>
  <si>
    <t>Огляд квартирних електрощитків</t>
  </si>
  <si>
    <t>1-120-4</t>
  </si>
  <si>
    <t>Огляд електрощитової</t>
  </si>
  <si>
    <t>1 шт.</t>
  </si>
  <si>
    <t>1-120-5</t>
  </si>
  <si>
    <t>Норматив     (№ таблиці)</t>
  </si>
  <si>
    <t>Витрати праці електромонт. (люд./год)</t>
  </si>
  <si>
    <t>Технічний огляд елементів електропостачання житлового будинку</t>
  </si>
  <si>
    <t>Перевірка заземлення ванн</t>
  </si>
  <si>
    <t>1 ванна</t>
  </si>
  <si>
    <t>1-121-1</t>
  </si>
  <si>
    <t>Перевірка заземлення оболонки електрокабелю</t>
  </si>
  <si>
    <t>1-121-2</t>
  </si>
  <si>
    <t>Заміна пошкоджених ділянок електричних мереж, число і переріз жил в проводі: 2 х 1,5 мм2; 2 х 2,5 мм2</t>
  </si>
  <si>
    <t>1 м.</t>
  </si>
  <si>
    <t>1-121-3</t>
  </si>
  <si>
    <t>2.2</t>
  </si>
  <si>
    <t>Заміна пошкоджених ділянок електричних мереж, число і переріз жил в проводі: 3 х 1,5 мм2; 3 х 2,5 мм2</t>
  </si>
  <si>
    <t>1-121-4</t>
  </si>
  <si>
    <t>Заміна ламп розжарювання та ламп денного світла</t>
  </si>
  <si>
    <t>3.1</t>
  </si>
  <si>
    <t>1-122-1</t>
  </si>
  <si>
    <t>3.2</t>
  </si>
  <si>
    <t>Заміна розбитої лампи денного світла</t>
  </si>
  <si>
    <t>1-122-4</t>
  </si>
  <si>
    <t>Заміна стінного або стельового патрона</t>
  </si>
  <si>
    <t>При відкритій арматурі</t>
  </si>
  <si>
    <t>10 шт.</t>
  </si>
  <si>
    <t>1-123-1</t>
  </si>
  <si>
    <t>При герметичній арматурі</t>
  </si>
  <si>
    <t>1-123-2</t>
  </si>
  <si>
    <t>Обслуговування і заміна вимикачів розеток</t>
  </si>
  <si>
    <t>5.1</t>
  </si>
  <si>
    <t>Обслговування вимикача</t>
  </si>
  <si>
    <t>1-24-1</t>
  </si>
  <si>
    <t>5.2</t>
  </si>
  <si>
    <t>Заміна вимикача</t>
  </si>
  <si>
    <t>1-24-2</t>
  </si>
  <si>
    <t>Заміна запобіжників,автоматичних вимикачів, ключів і кнопок керування</t>
  </si>
  <si>
    <t>6.1</t>
  </si>
  <si>
    <t>Заміна запобіжників</t>
  </si>
  <si>
    <t>1-125-1</t>
  </si>
  <si>
    <t>6.2</t>
  </si>
  <si>
    <t>Заміна автоматичних вимикачів</t>
  </si>
  <si>
    <t>1-125-2</t>
  </si>
  <si>
    <t>6.3</t>
  </si>
  <si>
    <t>Заміна ключів керування</t>
  </si>
  <si>
    <t>1-125-3</t>
  </si>
  <si>
    <t>7</t>
  </si>
  <si>
    <t>Вимірювання опору ізоляції</t>
  </si>
  <si>
    <t>10 ділянок</t>
  </si>
  <si>
    <t>1-131-1</t>
  </si>
  <si>
    <t xml:space="preserve">Заміна перегорілої лампи </t>
  </si>
  <si>
    <t>Посадовий оклад     (див.дод.№1 )</t>
  </si>
  <si>
    <t>Заробітна плата   з урахуванням премій та резерву на відпустку (9%), грн.</t>
  </si>
  <si>
    <t>Предохранитель ПН -2 100А</t>
  </si>
  <si>
    <t>Провід АВВГ 2х2,5</t>
  </si>
  <si>
    <t>Провід АПВ  2,5</t>
  </si>
  <si>
    <t>Патрон електричний</t>
  </si>
  <si>
    <t>Вимикач</t>
  </si>
  <si>
    <t>1-124-2</t>
  </si>
  <si>
    <t>Вимикачі автоматичні 25 А</t>
  </si>
  <si>
    <t>Вимикачі автоматичні 16 А</t>
  </si>
  <si>
    <t>Разом матеріалів</t>
  </si>
  <si>
    <t>Лампа енергозберігаюча</t>
  </si>
  <si>
    <t>Виробнича собівартість послуг АВС за 1 м.кв.</t>
  </si>
  <si>
    <t>два рази на рік</t>
  </si>
  <si>
    <t>заміна перегорілої лампи (енергозберіг)</t>
  </si>
  <si>
    <t>один раз на два роки</t>
  </si>
  <si>
    <t xml:space="preserve">Сума єдиного внеску на загальнообов'язкове
державне соціальне страхування </t>
  </si>
  <si>
    <t>Посипання території піском</t>
  </si>
  <si>
    <t>Складові витрат на утримання будинку та прибудинкової території та поточний ремонт спільного майна будинку</t>
  </si>
  <si>
    <t>Річна сума складової витрат ( гривень)</t>
  </si>
  <si>
    <t>Місячна сума витрат у розрахунку на 1кв. метр загальної площі житлових та нежитлових приміщень у будинку (гривень)</t>
  </si>
  <si>
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</si>
  <si>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 xml:space="preserve">Додаток </t>
  </si>
  <si>
    <t>до договору</t>
  </si>
  <si>
    <t>ПІДПИСИ</t>
  </si>
  <si>
    <t>Від управителя                                                                                        Від співласників</t>
  </si>
  <si>
    <t>мп</t>
  </si>
  <si>
    <t>( ініціали та прізвище)</t>
  </si>
  <si>
    <t>_____________ Шацьких А.І.                                                                ____________ __________________________</t>
  </si>
  <si>
    <t>"Технічне обслуговування внутрішньобудинкових систем: водопостачання; водовідведення; теплопостачання;   електропостачання; газопостачання.</t>
  </si>
  <si>
    <t xml:space="preserve">Обслуговування мереж газопостачання </t>
  </si>
  <si>
    <t>Підстава включення до послуги</t>
  </si>
  <si>
    <t>Вартість на рік без ПДВ, грн</t>
  </si>
  <si>
    <t>Вартість на місяць без ПДВ, грн</t>
  </si>
  <si>
    <t>згідно переліку робіт з експлеутації об'єкта газопостачання</t>
  </si>
  <si>
    <t xml:space="preserve">директор </t>
  </si>
  <si>
    <t>КП "ЖИТЛОВО-ЕКСПЛУАТАЦІЙНА КОНТОРА"</t>
  </si>
  <si>
    <t>прибирання</t>
  </si>
  <si>
    <t xml:space="preserve">Витрати з обслуговування  вентиляційних каналів  </t>
  </si>
  <si>
    <t>"Обслуговування  вентиляційних каналів"</t>
  </si>
  <si>
    <t>Ремонтні роботи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</si>
  <si>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</si>
  <si>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чотири рази рік  </t>
  </si>
  <si>
    <t>обсл.раз на рік,заміна по необхідност</t>
  </si>
  <si>
    <t>перевірка зовнішнього стану, герметичності різьбових з'єднань та запірної арматури газом під робочим тиском на ввідних, внутрішніх та надземних газопроводах</t>
  </si>
  <si>
    <t>технічний огляд ввідних газопроводів</t>
  </si>
  <si>
    <t>технічне обслуговування крану на надземному газопроводі, випробобування на щільність газом або повітряним тиском</t>
  </si>
  <si>
    <t>один раз на три роки</t>
  </si>
  <si>
    <t>Обслуговування  вентиляційних каналів</t>
  </si>
  <si>
    <t>Поточний ремонт внутрішньобудинкових систем:водопостачання, водовідведення, теплопостачання, електропостачання</t>
  </si>
  <si>
    <t>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</t>
  </si>
  <si>
    <t>в разі необхідності</t>
  </si>
  <si>
    <t>" Прибирання снігу, посипання частини прибудинкової території, призначеної для проходу та проїзду, протиожеледними сумішами"</t>
  </si>
  <si>
    <t>"Придбання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будинку"</t>
  </si>
  <si>
    <t xml:space="preserve">  </t>
  </si>
  <si>
    <t>Собівартість технічного обслуговування одного базового ліфта</t>
  </si>
  <si>
    <t>Труби теплопостачання ( без квартир)</t>
  </si>
  <si>
    <t>м.п.</t>
  </si>
  <si>
    <t>Запірно-регулювальна арматура централ.опалення</t>
  </si>
  <si>
    <t>Труби теплопостачання ( з квартирами)</t>
  </si>
  <si>
    <t>Вузли управління</t>
  </si>
  <si>
    <t>Грязьовики</t>
  </si>
  <si>
    <t>Контрольно - вимірювальні прилади</t>
  </si>
  <si>
    <t>Заміна прокладки каналізац. Ревізії</t>
  </si>
  <si>
    <t>опер.</t>
  </si>
  <si>
    <t>Закарбування розтруба каналізац.труб діам. до 50 мм</t>
  </si>
  <si>
    <t>Закарбування розтруба каналізац.труб діам. до 100 мм</t>
  </si>
  <si>
    <t>Поновлення сальникових ущільнень на вентилях діам. до 50 мм</t>
  </si>
  <si>
    <t>щит.</t>
  </si>
  <si>
    <t>Огляд квартирних електрощиткіав</t>
  </si>
  <si>
    <t>Огляд електрошитової</t>
  </si>
  <si>
    <t>Заміна патрона при герметичній арматурі</t>
  </si>
  <si>
    <t>Обслуговування вимикача</t>
  </si>
  <si>
    <t>діл.</t>
  </si>
  <si>
    <t>Заміна патрона  при відкритій арматурі</t>
  </si>
  <si>
    <t>Площа прибудинкової території, яка прибирається механізованим способом, кв.м</t>
  </si>
  <si>
    <t>Зсування снігу, який щойно випав , кв.м.</t>
  </si>
  <si>
    <t>Підмітання снігу, згрібання до купи, кв.м</t>
  </si>
  <si>
    <t>Очищення східців, кв.м.</t>
  </si>
  <si>
    <t>Очищення території від полою, кв.м.</t>
  </si>
  <si>
    <t>Очищення контейнерного майданчику від снігу</t>
  </si>
  <si>
    <t>" Поточний ремонт внутрішньобудинкових систем : водопостачання ; водовідведення; теплопостачання; електропостачання; "</t>
  </si>
  <si>
    <t xml:space="preserve">Технічне обслуговування нутрішньобудинкових систем : водопостачання, водовідведення, теплопостачання, електропостачання,  газопостачання, </t>
  </si>
  <si>
    <t>Поточний ремонт внутрішньобудинкових систем:водопостачання, водовідведення, теплопостачання.</t>
  </si>
  <si>
    <t>Труби холодного водопостачання</t>
  </si>
  <si>
    <t xml:space="preserve">Труби водовідведення </t>
  </si>
  <si>
    <t>Не передбачувані роботи</t>
  </si>
  <si>
    <t>Дніпробудівська</t>
  </si>
  <si>
    <t>1978</t>
  </si>
  <si>
    <t>ремонт покрівлі - 200 кв.м,
ремонт дверей  - 4 шт.,
ремонт відмостки бетонним розчином - 0,4 м.куб,
влаштування бетонної стяжки перед входом в під'їзд- 7 кв.м,
ремонт та фарбування лавочки біля  4 під'їзду,
фарбування газопроводу,
розчищення козирків від порослі перед входом в під'їзди,
розчищення дерев з автовишки -4 куб.м,
утеплення труб опалення в підвалі -60 м,
заміна труб опалення, холодного водопостачання, каналізації -96 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</si>
</sst>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"/>
    <numFmt numFmtId="166" formatCode="0.000000"/>
    <numFmt numFmtId="167" formatCode="0.0"/>
    <numFmt numFmtId="168" formatCode="0.00000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Century Schoolbook"/>
      <family val="1"/>
      <charset val="204"/>
    </font>
    <font>
      <b/>
      <sz val="12"/>
      <color theme="1"/>
      <name val="Century Schoolbook"/>
      <family val="1"/>
      <charset val="204"/>
    </font>
    <font>
      <i/>
      <sz val="12"/>
      <color theme="1"/>
      <name val="Century Schoolbook"/>
      <family val="1"/>
      <charset val="204"/>
    </font>
    <font>
      <sz val="11"/>
      <color theme="1"/>
      <name val="Century Schoolbook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2E9F0"/>
        <bgColor indexed="64"/>
      </patternFill>
    </fill>
    <fill>
      <patternFill patternType="solid">
        <fgColor theme="3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4" fillId="0" borderId="0"/>
    <xf numFmtId="0" fontId="15" fillId="0" borderId="0"/>
  </cellStyleXfs>
  <cellXfs count="1577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0" xfId="0" applyFont="1"/>
    <xf numFmtId="0" fontId="7" fillId="0" borderId="0" xfId="0" applyFont="1"/>
    <xf numFmtId="0" fontId="5" fillId="0" borderId="0" xfId="0" applyFont="1"/>
    <xf numFmtId="49" fontId="8" fillId="0" borderId="0" xfId="0" applyNumberFormat="1" applyFont="1" applyAlignment="1">
      <alignment horizontal="center"/>
    </xf>
    <xf numFmtId="49" fontId="9" fillId="0" borderId="0" xfId="0" applyNumberFormat="1" applyFont="1"/>
    <xf numFmtId="49" fontId="8" fillId="0" borderId="0" xfId="0" applyNumberFormat="1" applyFont="1"/>
    <xf numFmtId="0" fontId="9" fillId="0" borderId="0" xfId="0" applyFont="1" applyProtection="1">
      <protection locked="0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/>
    <xf numFmtId="1" fontId="9" fillId="0" borderId="1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justify"/>
    </xf>
    <xf numFmtId="49" fontId="8" fillId="0" borderId="0" xfId="0" applyNumberFormat="1" applyFont="1" applyAlignment="1">
      <alignment horizontal="justify" vertical="center"/>
    </xf>
    <xf numFmtId="0" fontId="9" fillId="0" borderId="0" xfId="0" applyFont="1" applyAlignment="1">
      <alignment horizontal="justify"/>
    </xf>
    <xf numFmtId="49" fontId="9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/>
    <xf numFmtId="1" fontId="8" fillId="0" borderId="1" xfId="0" applyNumberFormat="1" applyFont="1" applyBorder="1"/>
    <xf numFmtId="0" fontId="9" fillId="0" borderId="1" xfId="0" applyFont="1" applyBorder="1"/>
    <xf numFmtId="49" fontId="13" fillId="0" borderId="21" xfId="0" applyNumberFormat="1" applyFont="1" applyBorder="1" applyAlignment="1">
      <alignment horizontal="justify" vertical="center"/>
    </xf>
    <xf numFmtId="0" fontId="13" fillId="0" borderId="22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right"/>
    </xf>
    <xf numFmtId="1" fontId="8" fillId="0" borderId="24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8" fillId="3" borderId="27" xfId="0" applyNumberFormat="1" applyFont="1" applyFill="1" applyBorder="1"/>
    <xf numFmtId="0" fontId="0" fillId="0" borderId="0" xfId="0" applyProtection="1"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22" xfId="0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right" vertical="center"/>
      <protection locked="0"/>
    </xf>
    <xf numFmtId="2" fontId="13" fillId="4" borderId="33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right" vertical="center"/>
      <protection locked="0"/>
    </xf>
    <xf numFmtId="1" fontId="13" fillId="4" borderId="24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>
      <alignment horizontal="right" vertical="justify"/>
    </xf>
    <xf numFmtId="1" fontId="0" fillId="0" borderId="22" xfId="0" applyNumberFormat="1" applyBorder="1" applyAlignment="1" applyProtection="1">
      <alignment horizontal="right" vertical="justify"/>
      <protection locked="0"/>
    </xf>
    <xf numFmtId="1" fontId="9" fillId="0" borderId="45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1" fontId="9" fillId="0" borderId="47" xfId="0" applyNumberFormat="1" applyFont="1" applyBorder="1" applyAlignment="1">
      <alignment horizontal="left"/>
    </xf>
    <xf numFmtId="1" fontId="9" fillId="0" borderId="7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left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" fontId="9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1" fontId="9" fillId="0" borderId="11" xfId="0" applyNumberFormat="1" applyFont="1" applyBorder="1" applyAlignment="1">
      <alignment horizontal="left"/>
    </xf>
    <xf numFmtId="2" fontId="11" fillId="0" borderId="1" xfId="0" applyNumberFormat="1" applyFont="1" applyBorder="1" applyAlignment="1" applyProtection="1">
      <alignment horizontal="left"/>
      <protection locked="0"/>
    </xf>
    <xf numFmtId="49" fontId="9" fillId="0" borderId="36" xfId="0" applyNumberFormat="1" applyFont="1" applyBorder="1"/>
    <xf numFmtId="1" fontId="9" fillId="0" borderId="23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1" fontId="9" fillId="0" borderId="37" xfId="0" applyNumberFormat="1" applyFont="1" applyBorder="1" applyAlignment="1">
      <alignment horizontal="left"/>
    </xf>
    <xf numFmtId="49" fontId="9" fillId="0" borderId="38" xfId="0" applyNumberFormat="1" applyFont="1" applyBorder="1"/>
    <xf numFmtId="49" fontId="9" fillId="0" borderId="38" xfId="0" applyNumberFormat="1" applyFont="1" applyBorder="1" applyAlignment="1">
      <alignment horizontal="left"/>
    </xf>
    <xf numFmtId="49" fontId="9" fillId="0" borderId="51" xfId="0" applyNumberFormat="1" applyFont="1" applyBorder="1"/>
    <xf numFmtId="49" fontId="11" fillId="0" borderId="46" xfId="0" applyNumberFormat="1" applyFont="1" applyBorder="1" applyAlignment="1">
      <alignment horizontal="left"/>
    </xf>
    <xf numFmtId="0" fontId="17" fillId="0" borderId="46" xfId="0" applyFont="1" applyBorder="1" applyAlignment="1" applyProtection="1">
      <alignment horizontal="left"/>
      <protection locked="0"/>
    </xf>
    <xf numFmtId="1" fontId="17" fillId="0" borderId="46" xfId="0" applyNumberFormat="1" applyFont="1" applyBorder="1" applyAlignment="1" applyProtection="1">
      <alignment horizontal="right"/>
      <protection locked="0"/>
    </xf>
    <xf numFmtId="2" fontId="9" fillId="0" borderId="46" xfId="0" applyNumberFormat="1" applyFont="1" applyBorder="1" applyAlignment="1">
      <alignment horizontal="right"/>
    </xf>
    <xf numFmtId="1" fontId="9" fillId="0" borderId="16" xfId="0" applyNumberFormat="1" applyFont="1" applyBorder="1" applyAlignment="1">
      <alignment horizontal="left"/>
    </xf>
    <xf numFmtId="0" fontId="17" fillId="0" borderId="1" xfId="0" applyFont="1" applyBorder="1" applyAlignment="1" applyProtection="1">
      <alignment horizontal="left"/>
      <protection locked="0"/>
    </xf>
    <xf numFmtId="49" fontId="11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1" fontId="9" fillId="0" borderId="20" xfId="0" applyNumberFormat="1" applyFont="1" applyBorder="1" applyAlignment="1">
      <alignment horizontal="left"/>
    </xf>
    <xf numFmtId="0" fontId="9" fillId="0" borderId="46" xfId="0" applyFont="1" applyBorder="1"/>
    <xf numFmtId="1" fontId="9" fillId="0" borderId="38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1" fontId="9" fillId="0" borderId="52" xfId="0" applyNumberFormat="1" applyFont="1" applyBorder="1" applyAlignment="1">
      <alignment horizontal="right"/>
    </xf>
    <xf numFmtId="49" fontId="11" fillId="0" borderId="32" xfId="0" applyNumberFormat="1" applyFont="1" applyBorder="1" applyAlignment="1">
      <alignment horizontal="left"/>
    </xf>
    <xf numFmtId="49" fontId="11" fillId="0" borderId="21" xfId="0" applyNumberFormat="1" applyFont="1" applyBorder="1" applyAlignment="1">
      <alignment horizontal="left"/>
    </xf>
    <xf numFmtId="49" fontId="14" fillId="0" borderId="21" xfId="0" applyNumberFormat="1" applyFont="1" applyBorder="1" applyAlignment="1">
      <alignment horizontal="right"/>
    </xf>
    <xf numFmtId="49" fontId="11" fillId="0" borderId="11" xfId="0" applyNumberFormat="1" applyFont="1" applyBorder="1" applyAlignment="1">
      <alignment horizontal="left"/>
    </xf>
    <xf numFmtId="0" fontId="0" fillId="0" borderId="1" xfId="0" applyBorder="1" applyAlignment="1" applyProtection="1">
      <alignment horizontal="left"/>
      <protection locked="0"/>
    </xf>
    <xf numFmtId="2" fontId="16" fillId="0" borderId="1" xfId="0" applyNumberFormat="1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justify"/>
      <protection locked="0"/>
    </xf>
    <xf numFmtId="1" fontId="14" fillId="0" borderId="22" xfId="0" applyNumberFormat="1" applyFont="1" applyBorder="1" applyAlignment="1">
      <alignment horizontal="right"/>
    </xf>
    <xf numFmtId="0" fontId="14" fillId="0" borderId="26" xfId="0" applyFont="1" applyBorder="1" applyAlignment="1">
      <alignment horizontal="right"/>
    </xf>
    <xf numFmtId="49" fontId="11" fillId="0" borderId="16" xfId="0" applyNumberFormat="1" applyFont="1" applyBorder="1" applyAlignment="1">
      <alignment horizontal="left"/>
    </xf>
    <xf numFmtId="1" fontId="11" fillId="0" borderId="26" xfId="0" applyNumberFormat="1" applyFont="1" applyBorder="1" applyAlignment="1">
      <alignment horizontal="right"/>
    </xf>
    <xf numFmtId="49" fontId="11" fillId="0" borderId="26" xfId="0" applyNumberFormat="1" applyFont="1" applyBorder="1" applyAlignment="1">
      <alignment horizontal="left"/>
    </xf>
    <xf numFmtId="49" fontId="11" fillId="0" borderId="17" xfId="0" applyNumberFormat="1" applyFont="1" applyBorder="1" applyAlignment="1">
      <alignment horizontal="left"/>
    </xf>
    <xf numFmtId="1" fontId="11" fillId="0" borderId="27" xfId="0" applyNumberFormat="1" applyFont="1" applyBorder="1"/>
    <xf numFmtId="164" fontId="8" fillId="0" borderId="2" xfId="0" applyNumberFormat="1" applyFont="1" applyBorder="1" applyAlignment="1">
      <alignment horizontal="right"/>
    </xf>
    <xf numFmtId="2" fontId="9" fillId="3" borderId="53" xfId="0" applyNumberFormat="1" applyFont="1" applyFill="1" applyBorder="1" applyAlignment="1">
      <alignment horizontal="right"/>
    </xf>
    <xf numFmtId="1" fontId="8" fillId="6" borderId="46" xfId="0" applyNumberFormat="1" applyFont="1" applyFill="1" applyBorder="1" applyAlignment="1">
      <alignment horizontal="right"/>
    </xf>
    <xf numFmtId="0" fontId="9" fillId="6" borderId="0" xfId="0" applyFont="1" applyFill="1" applyAlignment="1">
      <alignment horizontal="center"/>
    </xf>
    <xf numFmtId="1" fontId="9" fillId="0" borderId="45" xfId="0" applyNumberFormat="1" applyFont="1" applyBorder="1"/>
    <xf numFmtId="1" fontId="9" fillId="0" borderId="26" xfId="0" applyNumberFormat="1" applyFont="1" applyBorder="1" applyAlignment="1">
      <alignment horizontal="right"/>
    </xf>
    <xf numFmtId="49" fontId="9" fillId="0" borderId="54" xfId="0" applyNumberFormat="1" applyFont="1" applyBorder="1" applyAlignment="1">
      <alignment horizontal="left"/>
    </xf>
    <xf numFmtId="49" fontId="9" fillId="0" borderId="39" xfId="0" applyNumberFormat="1" applyFont="1" applyBorder="1" applyAlignment="1">
      <alignment horizontal="left"/>
    </xf>
    <xf numFmtId="1" fontId="9" fillId="0" borderId="27" xfId="0" applyNumberFormat="1" applyFont="1" applyBorder="1"/>
    <xf numFmtId="49" fontId="8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/>
    <xf numFmtId="0" fontId="11" fillId="0" borderId="0" xfId="0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2" fontId="8" fillId="0" borderId="0" xfId="0" applyNumberFormat="1" applyFont="1"/>
    <xf numFmtId="2" fontId="8" fillId="0" borderId="0" xfId="0" applyNumberFormat="1" applyFont="1" applyProtection="1">
      <protection locked="0"/>
    </xf>
    <xf numFmtId="1" fontId="8" fillId="0" borderId="0" xfId="0" applyNumberFormat="1" applyFont="1"/>
    <xf numFmtId="1" fontId="8" fillId="0" borderId="0" xfId="0" applyNumberFormat="1" applyFont="1" applyProtection="1">
      <protection locked="0"/>
    </xf>
    <xf numFmtId="49" fontId="10" fillId="0" borderId="0" xfId="0" applyNumberFormat="1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49" fontId="10" fillId="0" borderId="0" xfId="0" applyNumberFormat="1" applyFont="1" applyAlignment="1">
      <alignment vertical="center"/>
    </xf>
    <xf numFmtId="0" fontId="11" fillId="0" borderId="0" xfId="0" applyFont="1" applyProtection="1">
      <protection locked="0"/>
    </xf>
    <xf numFmtId="0" fontId="8" fillId="0" borderId="2" xfId="0" applyFont="1" applyBorder="1"/>
    <xf numFmtId="1" fontId="8" fillId="0" borderId="2" xfId="0" applyNumberFormat="1" applyFont="1" applyBorder="1" applyAlignment="1">
      <alignment horizontal="center"/>
    </xf>
    <xf numFmtId="1" fontId="8" fillId="0" borderId="2" xfId="0" applyNumberFormat="1" applyFont="1" applyBorder="1"/>
    <xf numFmtId="0" fontId="8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49" fontId="13" fillId="0" borderId="0" xfId="0" applyNumberFormat="1" applyFont="1" applyAlignment="1">
      <alignment horizontal="center"/>
    </xf>
    <xf numFmtId="2" fontId="14" fillId="0" borderId="0" xfId="0" applyNumberFormat="1" applyFont="1" applyAlignment="1" applyProtection="1">
      <alignment horizontal="right" vertical="justify"/>
      <protection locked="0"/>
    </xf>
    <xf numFmtId="2" fontId="13" fillId="0" borderId="0" xfId="0" applyNumberFormat="1" applyFont="1" applyAlignment="1">
      <alignment horizontal="right" vertical="justify"/>
    </xf>
    <xf numFmtId="2" fontId="0" fillId="0" borderId="0" xfId="0" applyNumberFormat="1" applyAlignment="1" applyProtection="1">
      <alignment vertical="justify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13" fillId="0" borderId="0" xfId="0" applyNumberFormat="1" applyFont="1" applyAlignment="1">
      <alignment horizontal="center" vertical="center"/>
    </xf>
    <xf numFmtId="2" fontId="16" fillId="0" borderId="0" xfId="0" applyNumberFormat="1" applyFont="1" applyAlignment="1" applyProtection="1">
      <alignment horizontal="right" vertical="justify"/>
      <protection locked="0"/>
    </xf>
    <xf numFmtId="2" fontId="14" fillId="0" borderId="0" xfId="0" applyNumberFormat="1" applyFont="1" applyAlignment="1">
      <alignment horizontal="right" vertical="justify"/>
    </xf>
    <xf numFmtId="2" fontId="14" fillId="0" borderId="1" xfId="0" applyNumberFormat="1" applyFont="1" applyBorder="1" applyAlignment="1">
      <alignment vertical="justify"/>
    </xf>
    <xf numFmtId="0" fontId="10" fillId="0" borderId="0" xfId="0" applyFont="1" applyAlignment="1" applyProtection="1">
      <alignment vertical="center"/>
      <protection locked="0"/>
    </xf>
    <xf numFmtId="2" fontId="14" fillId="0" borderId="0" xfId="0" applyNumberFormat="1" applyFont="1" applyAlignment="1" applyProtection="1">
      <alignment vertical="justify"/>
      <protection locked="0"/>
    </xf>
    <xf numFmtId="2" fontId="13" fillId="0" borderId="0" xfId="0" applyNumberFormat="1" applyFont="1" applyAlignment="1">
      <alignment vertical="justify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2" fontId="13" fillId="4" borderId="47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1" fontId="11" fillId="0" borderId="36" xfId="0" applyNumberFormat="1" applyFont="1" applyBorder="1"/>
    <xf numFmtId="164" fontId="9" fillId="0" borderId="1" xfId="0" applyNumberFormat="1" applyFont="1" applyBorder="1" applyAlignment="1">
      <alignment horizontal="right"/>
    </xf>
    <xf numFmtId="0" fontId="19" fillId="0" borderId="0" xfId="0" applyFont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2" fontId="23" fillId="0" borderId="1" xfId="0" applyNumberFormat="1" applyFont="1" applyBorder="1" applyAlignment="1" applyProtection="1">
      <alignment horizontal="right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1" fontId="23" fillId="0" borderId="1" xfId="0" applyNumberFormat="1" applyFont="1" applyBorder="1" applyAlignment="1" applyProtection="1">
      <alignment horizontal="right" vertical="center"/>
      <protection locked="0"/>
    </xf>
    <xf numFmtId="2" fontId="23" fillId="3" borderId="1" xfId="0" applyNumberFormat="1" applyFont="1" applyFill="1" applyBorder="1" applyAlignment="1" applyProtection="1">
      <alignment horizontal="right" vertical="center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1" fontId="23" fillId="3" borderId="1" xfId="0" applyNumberFormat="1" applyFont="1" applyFill="1" applyBorder="1" applyAlignment="1" applyProtection="1">
      <alignment horizontal="right" vertical="center"/>
      <protection locked="0"/>
    </xf>
    <xf numFmtId="165" fontId="23" fillId="3" borderId="1" xfId="0" applyNumberFormat="1" applyFont="1" applyFill="1" applyBorder="1" applyAlignment="1" applyProtection="1">
      <alignment horizontal="right" vertical="center"/>
      <protection locked="0"/>
    </xf>
    <xf numFmtId="164" fontId="23" fillId="3" borderId="1" xfId="0" applyNumberFormat="1" applyFont="1" applyFill="1" applyBorder="1" applyAlignment="1" applyProtection="1">
      <alignment horizontal="right" vertical="center"/>
      <protection locked="0"/>
    </xf>
    <xf numFmtId="2" fontId="19" fillId="3" borderId="1" xfId="0" applyNumberFormat="1" applyFont="1" applyFill="1" applyBorder="1" applyProtection="1">
      <protection locked="0"/>
    </xf>
    <xf numFmtId="0" fontId="19" fillId="3" borderId="1" xfId="0" applyFont="1" applyFill="1" applyBorder="1" applyAlignment="1" applyProtection="1">
      <alignment horizontal="center"/>
      <protection locked="0"/>
    </xf>
    <xf numFmtId="0" fontId="19" fillId="7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0" fontId="24" fillId="0" borderId="0" xfId="1"/>
    <xf numFmtId="2" fontId="0" fillId="0" borderId="0" xfId="0" applyNumberFormat="1"/>
    <xf numFmtId="0" fontId="25" fillId="0" borderId="0" xfId="1" applyFont="1"/>
    <xf numFmtId="0" fontId="28" fillId="0" borderId="1" xfId="1" applyFont="1" applyBorder="1" applyAlignment="1">
      <alignment horizontal="justify" vertical="center"/>
    </xf>
    <xf numFmtId="0" fontId="28" fillId="0" borderId="1" xfId="1" applyFont="1" applyBorder="1" applyAlignment="1">
      <alignment horizontal="justify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24" fillId="0" borderId="1" xfId="1" applyBorder="1" applyAlignment="1">
      <alignment horizontal="justify"/>
    </xf>
    <xf numFmtId="2" fontId="24" fillId="0" borderId="1" xfId="1" applyNumberFormat="1" applyBorder="1"/>
    <xf numFmtId="0" fontId="11" fillId="0" borderId="1" xfId="0" applyFont="1" applyBorder="1" applyProtection="1">
      <protection locked="0"/>
    </xf>
    <xf numFmtId="0" fontId="12" fillId="0" borderId="0" xfId="0" applyFont="1" applyProtection="1"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Border="1" applyAlignment="1" applyProtection="1">
      <alignment horizontal="center"/>
      <protection locked="0"/>
    </xf>
    <xf numFmtId="0" fontId="21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Protection="1">
      <protection locked="0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65" fontId="21" fillId="0" borderId="0" xfId="0" applyNumberFormat="1" applyFont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1" fontId="20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justify" wrapText="1"/>
    </xf>
    <xf numFmtId="0" fontId="19" fillId="0" borderId="0" xfId="0" applyFont="1" applyAlignment="1" applyProtection="1">
      <alignment horizontal="justify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right"/>
    </xf>
    <xf numFmtId="1" fontId="29" fillId="0" borderId="4" xfId="0" applyNumberFormat="1" applyFont="1" applyBorder="1" applyAlignment="1">
      <alignment horizontal="right"/>
    </xf>
    <xf numFmtId="1" fontId="29" fillId="0" borderId="1" xfId="0" applyNumberFormat="1" applyFont="1" applyBorder="1" applyAlignment="1">
      <alignment horizontal="center"/>
    </xf>
    <xf numFmtId="2" fontId="29" fillId="0" borderId="1" xfId="0" applyNumberFormat="1" applyFont="1" applyBorder="1" applyAlignment="1" applyProtection="1">
      <alignment horizontal="center"/>
      <protection locked="0"/>
    </xf>
    <xf numFmtId="2" fontId="30" fillId="0" borderId="1" xfId="0" applyNumberFormat="1" applyFont="1" applyBorder="1" applyAlignment="1">
      <alignment horizontal="right"/>
    </xf>
    <xf numFmtId="1" fontId="30" fillId="0" borderId="1" xfId="0" applyNumberFormat="1" applyFont="1" applyBorder="1" applyAlignment="1">
      <alignment horizontal="center"/>
    </xf>
    <xf numFmtId="2" fontId="30" fillId="0" borderId="1" xfId="0" applyNumberFormat="1" applyFont="1" applyBorder="1" applyAlignment="1" applyProtection="1">
      <alignment horizontal="center"/>
      <protection locked="0"/>
    </xf>
    <xf numFmtId="2" fontId="29" fillId="0" borderId="1" xfId="0" applyNumberFormat="1" applyFont="1" applyBorder="1" applyAlignment="1" applyProtection="1">
      <alignment horizontal="right"/>
      <protection locked="0"/>
    </xf>
    <xf numFmtId="1" fontId="29" fillId="0" borderId="1" xfId="0" applyNumberFormat="1" applyFont="1" applyBorder="1" applyAlignment="1" applyProtection="1">
      <alignment horizontal="right"/>
      <protection locked="0"/>
    </xf>
    <xf numFmtId="49" fontId="29" fillId="0" borderId="1" xfId="0" applyNumberFormat="1" applyFont="1" applyBorder="1" applyAlignment="1">
      <alignment horizontal="center"/>
    </xf>
    <xf numFmtId="49" fontId="2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Protection="1">
      <protection locked="0"/>
    </xf>
    <xf numFmtId="49" fontId="30" fillId="0" borderId="1" xfId="0" applyNumberFormat="1" applyFont="1" applyBorder="1" applyAlignment="1">
      <alignment horizontal="right" vertical="center" wrapText="1"/>
    </xf>
    <xf numFmtId="49" fontId="29" fillId="0" borderId="15" xfId="0" applyNumberFormat="1" applyFont="1" applyBorder="1" applyAlignment="1">
      <alignment horizontal="center" wrapText="1"/>
    </xf>
    <xf numFmtId="0" fontId="29" fillId="0" borderId="1" xfId="0" applyFont="1" applyBorder="1" applyAlignment="1">
      <alignment horizontal="right"/>
    </xf>
    <xf numFmtId="1" fontId="29" fillId="0" borderId="7" xfId="0" applyNumberFormat="1" applyFont="1" applyBorder="1" applyAlignment="1">
      <alignment horizontal="right"/>
    </xf>
    <xf numFmtId="1" fontId="29" fillId="0" borderId="15" xfId="0" applyNumberFormat="1" applyFont="1" applyBorder="1" applyAlignment="1">
      <alignment horizontal="center"/>
    </xf>
    <xf numFmtId="2" fontId="29" fillId="0" borderId="15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right"/>
    </xf>
    <xf numFmtId="1" fontId="19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0" fontId="29" fillId="0" borderId="0" xfId="0" applyFont="1" applyProtection="1">
      <protection locked="0"/>
    </xf>
    <xf numFmtId="0" fontId="30" fillId="0" borderId="0" xfId="0" applyFont="1"/>
    <xf numFmtId="1" fontId="30" fillId="0" borderId="0" xfId="0" applyNumberFormat="1" applyFont="1"/>
    <xf numFmtId="2" fontId="30" fillId="0" borderId="0" xfId="0" applyNumberFormat="1" applyFont="1"/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 applyProtection="1">
      <alignment horizontal="center" vertical="center"/>
      <protection locked="0"/>
    </xf>
    <xf numFmtId="2" fontId="29" fillId="6" borderId="1" xfId="0" applyNumberFormat="1" applyFont="1" applyFill="1" applyBorder="1" applyAlignment="1">
      <alignment horizontal="right" wrapText="1"/>
    </xf>
    <xf numFmtId="1" fontId="29" fillId="0" borderId="1" xfId="0" applyNumberFormat="1" applyFont="1" applyBorder="1" applyAlignment="1">
      <alignment horizontal="right"/>
    </xf>
    <xf numFmtId="165" fontId="29" fillId="0" borderId="1" xfId="0" applyNumberFormat="1" applyFont="1" applyBorder="1" applyAlignment="1">
      <alignment horizontal="right"/>
    </xf>
    <xf numFmtId="0" fontId="29" fillId="6" borderId="0" xfId="0" applyFont="1" applyFill="1" applyAlignment="1">
      <alignment horizontal="center" vertical="center" wrapText="1"/>
    </xf>
    <xf numFmtId="2" fontId="29" fillId="6" borderId="0" xfId="0" applyNumberFormat="1" applyFont="1" applyFill="1" applyAlignment="1">
      <alignment horizontal="right" wrapText="1"/>
    </xf>
    <xf numFmtId="2" fontId="29" fillId="0" borderId="0" xfId="0" applyNumberFormat="1" applyFont="1" applyAlignment="1">
      <alignment horizontal="right"/>
    </xf>
    <xf numFmtId="2" fontId="29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1" xfId="0" applyFont="1" applyBorder="1"/>
    <xf numFmtId="14" fontId="34" fillId="0" borderId="1" xfId="0" applyNumberFormat="1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/>
    <xf numFmtId="2" fontId="35" fillId="0" borderId="1" xfId="0" applyNumberFormat="1" applyFont="1" applyBorder="1"/>
    <xf numFmtId="49" fontId="3" fillId="0" borderId="0" xfId="0" applyNumberFormat="1" applyFont="1" applyAlignment="1">
      <alignment horizontal="center" vertical="center"/>
    </xf>
    <xf numFmtId="49" fontId="21" fillId="0" borderId="2" xfId="0" applyNumberFormat="1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2" fontId="29" fillId="0" borderId="1" xfId="0" applyNumberFormat="1" applyFont="1" applyBorder="1" applyAlignment="1">
      <alignment horizontal="right" vertical="center"/>
    </xf>
    <xf numFmtId="1" fontId="29" fillId="0" borderId="4" xfId="0" applyNumberFormat="1" applyFont="1" applyBorder="1" applyAlignment="1">
      <alignment horizontal="right" vertical="center"/>
    </xf>
    <xf numFmtId="1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14" fillId="0" borderId="0" xfId="0" applyFont="1" applyProtection="1"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13" fillId="0" borderId="55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0" fontId="14" fillId="0" borderId="55" xfId="0" applyFont="1" applyBorder="1" applyAlignment="1" applyProtection="1">
      <alignment horizontal="left" vertical="center" wrapText="1"/>
      <protection locked="0"/>
    </xf>
    <xf numFmtId="2" fontId="14" fillId="0" borderId="30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horizontal="right" vertical="justify" wrapText="1"/>
      <protection locked="0"/>
    </xf>
    <xf numFmtId="2" fontId="14" fillId="0" borderId="30" xfId="0" applyNumberFormat="1" applyFont="1" applyBorder="1" applyAlignment="1" applyProtection="1">
      <alignment horizontal="right" vertical="center" wrapText="1"/>
      <protection locked="0"/>
    </xf>
    <xf numFmtId="2" fontId="14" fillId="0" borderId="1" xfId="0" applyNumberFormat="1" applyFont="1" applyBorder="1" applyAlignment="1" applyProtection="1">
      <alignment horizontal="right" vertical="center" wrapText="1"/>
      <protection locked="0"/>
    </xf>
    <xf numFmtId="2" fontId="14" fillId="0" borderId="24" xfId="0" applyNumberFormat="1" applyFont="1" applyBorder="1" applyAlignment="1" applyProtection="1">
      <alignment horizontal="right" vertical="center"/>
      <protection locked="0"/>
    </xf>
    <xf numFmtId="2" fontId="14" fillId="0" borderId="24" xfId="0" applyNumberFormat="1" applyFont="1" applyBorder="1" applyAlignment="1" applyProtection="1">
      <alignment horizontal="right" vertical="center" wrapText="1"/>
      <protection locked="0"/>
    </xf>
    <xf numFmtId="0" fontId="14" fillId="0" borderId="55" xfId="0" applyFont="1" applyBorder="1" applyAlignment="1" applyProtection="1">
      <alignment horizontal="left" wrapText="1"/>
      <protection locked="0"/>
    </xf>
    <xf numFmtId="0" fontId="14" fillId="0" borderId="56" xfId="0" applyFont="1" applyBorder="1" applyAlignment="1" applyProtection="1">
      <alignment horizontal="left" vertical="center" wrapText="1"/>
      <protection locked="0"/>
    </xf>
    <xf numFmtId="2" fontId="14" fillId="0" borderId="57" xfId="0" applyNumberFormat="1" applyFont="1" applyBorder="1" applyAlignment="1" applyProtection="1">
      <alignment horizontal="right" vertical="justify" wrapText="1"/>
      <protection locked="0"/>
    </xf>
    <xf numFmtId="2" fontId="14" fillId="0" borderId="26" xfId="0" applyNumberFormat="1" applyFont="1" applyBorder="1" applyAlignment="1" applyProtection="1">
      <alignment vertical="justify"/>
      <protection locked="0"/>
    </xf>
    <xf numFmtId="2" fontId="14" fillId="0" borderId="27" xfId="0" applyNumberFormat="1" applyFont="1" applyBorder="1" applyAlignment="1" applyProtection="1">
      <alignment vertical="justify"/>
      <protection locked="0"/>
    </xf>
    <xf numFmtId="2" fontId="14" fillId="0" borderId="25" xfId="0" applyNumberFormat="1" applyFont="1" applyBorder="1" applyAlignment="1" applyProtection="1">
      <alignment horizontal="right" vertical="justify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2" fontId="14" fillId="0" borderId="58" xfId="0" applyNumberFormat="1" applyFont="1" applyBorder="1" applyAlignment="1" applyProtection="1">
      <alignment horizontal="right" vertical="justify" wrapText="1"/>
      <protection locked="0"/>
    </xf>
    <xf numFmtId="2" fontId="14" fillId="0" borderId="59" xfId="0" applyNumberFormat="1" applyFont="1" applyBorder="1" applyAlignment="1" applyProtection="1">
      <alignment horizontal="right" vertical="justify" wrapText="1"/>
      <protection locked="0"/>
    </xf>
    <xf numFmtId="2" fontId="14" fillId="0" borderId="60" xfId="0" applyNumberFormat="1" applyFont="1" applyBorder="1" applyAlignment="1" applyProtection="1">
      <alignment horizontal="right" vertical="justify" wrapText="1"/>
      <protection locked="0"/>
    </xf>
    <xf numFmtId="2" fontId="13" fillId="3" borderId="63" xfId="0" applyNumberFormat="1" applyFont="1" applyFill="1" applyBorder="1" applyAlignment="1" applyProtection="1">
      <alignment vertical="justify"/>
      <protection locked="0"/>
    </xf>
    <xf numFmtId="2" fontId="13" fillId="3" borderId="62" xfId="0" applyNumberFormat="1" applyFont="1" applyFill="1" applyBorder="1" applyAlignment="1" applyProtection="1">
      <alignment vertical="justify"/>
      <protection locked="0"/>
    </xf>
    <xf numFmtId="2" fontId="13" fillId="3" borderId="63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2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4" xfId="0" applyNumberFormat="1" applyFont="1" applyFill="1" applyBorder="1" applyAlignment="1" applyProtection="1">
      <alignment horizontal="right" vertical="justify" wrapText="1"/>
      <protection locked="0"/>
    </xf>
    <xf numFmtId="0" fontId="13" fillId="0" borderId="0" xfId="0" applyFont="1" applyAlignment="1" applyProtection="1">
      <alignment horizontal="right" wrapText="1"/>
      <protection locked="0"/>
    </xf>
    <xf numFmtId="2" fontId="13" fillId="0" borderId="0" xfId="0" applyNumberFormat="1" applyFont="1" applyAlignment="1" applyProtection="1">
      <alignment horizontal="right" wrapText="1"/>
      <protection locked="0"/>
    </xf>
    <xf numFmtId="0" fontId="13" fillId="0" borderId="65" xfId="0" applyFont="1" applyBorder="1" applyAlignment="1" applyProtection="1">
      <alignment horizontal="center" vertical="center" wrapText="1"/>
      <protection locked="0"/>
    </xf>
    <xf numFmtId="2" fontId="13" fillId="0" borderId="65" xfId="0" applyNumberFormat="1" applyFont="1" applyBorder="1" applyAlignment="1" applyProtection="1">
      <alignment horizontal="center" vertical="center" wrapText="1"/>
      <protection locked="0"/>
    </xf>
    <xf numFmtId="1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2" xfId="0" applyNumberFormat="1" applyFont="1" applyBorder="1" applyAlignment="1" applyProtection="1">
      <alignment horizontal="right" vertical="center" wrapText="1"/>
      <protection locked="0"/>
    </xf>
    <xf numFmtId="1" fontId="14" fillId="0" borderId="1" xfId="0" applyNumberFormat="1" applyFont="1" applyBorder="1" applyAlignment="1" applyProtection="1">
      <alignment horizontal="right" vertical="center" wrapText="1"/>
      <protection locked="0"/>
    </xf>
    <xf numFmtId="1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5" xfId="0" applyNumberFormat="1" applyFont="1" applyBorder="1" applyAlignment="1" applyProtection="1">
      <alignment horizontal="right" vertical="center" wrapText="1"/>
      <protection locked="0"/>
    </xf>
    <xf numFmtId="1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6" xfId="0" applyNumberFormat="1" applyFont="1" applyBorder="1" applyAlignment="1" applyProtection="1">
      <alignment horizontal="right" vertical="center" wrapText="1"/>
      <protection locked="0"/>
    </xf>
    <xf numFmtId="1" fontId="14" fillId="0" borderId="61" xfId="0" applyNumberFormat="1" applyFont="1" applyBorder="1" applyAlignment="1" applyProtection="1">
      <alignment horizontal="right" vertical="center" wrapText="1"/>
      <protection locked="0"/>
    </xf>
    <xf numFmtId="2" fontId="14" fillId="0" borderId="27" xfId="0" applyNumberFormat="1" applyFont="1" applyBorder="1" applyAlignment="1" applyProtection="1">
      <alignment horizontal="right" vertical="center" wrapText="1"/>
      <protection locked="0"/>
    </xf>
    <xf numFmtId="2" fontId="13" fillId="0" borderId="66" xfId="0" applyNumberFormat="1" applyFont="1" applyBorder="1" applyAlignment="1" applyProtection="1">
      <alignment horizontal="right" vertical="center" wrapText="1"/>
      <protection locked="0"/>
    </xf>
    <xf numFmtId="2" fontId="13" fillId="2" borderId="22" xfId="0" applyNumberFormat="1" applyFont="1" applyFill="1" applyBorder="1" applyAlignment="1" applyProtection="1">
      <alignment vertical="center"/>
      <protection locked="0"/>
    </xf>
    <xf numFmtId="165" fontId="14" fillId="2" borderId="1" xfId="0" applyNumberFormat="1" applyFon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2" fontId="10" fillId="2" borderId="27" xfId="0" applyNumberFormat="1" applyFont="1" applyFill="1" applyBorder="1" applyProtection="1">
      <protection locked="0"/>
    </xf>
    <xf numFmtId="2" fontId="14" fillId="2" borderId="21" xfId="0" applyNumberFormat="1" applyFont="1" applyFill="1" applyBorder="1" applyProtection="1">
      <protection locked="0"/>
    </xf>
    <xf numFmtId="1" fontId="14" fillId="2" borderId="21" xfId="0" applyNumberFormat="1" applyFont="1" applyFill="1" applyBorder="1" applyProtection="1">
      <protection locked="0"/>
    </xf>
    <xf numFmtId="165" fontId="14" fillId="2" borderId="21" xfId="0" applyNumberFormat="1" applyFont="1" applyFill="1" applyBorder="1" applyProtection="1">
      <protection locked="0"/>
    </xf>
    <xf numFmtId="164" fontId="14" fillId="2" borderId="21" xfId="2" applyNumberFormat="1" applyFont="1" applyFill="1" applyBorder="1" applyAlignment="1" applyProtection="1">
      <alignment horizontal="right"/>
      <protection locked="0"/>
    </xf>
    <xf numFmtId="165" fontId="14" fillId="2" borderId="21" xfId="0" applyNumberFormat="1" applyFont="1" applyFill="1" applyBorder="1" applyAlignment="1" applyProtection="1">
      <alignment horizontal="right"/>
      <protection locked="0"/>
    </xf>
    <xf numFmtId="0" fontId="14" fillId="2" borderId="22" xfId="0" applyFont="1" applyFill="1" applyBorder="1" applyAlignment="1" applyProtection="1">
      <alignment horizontal="center"/>
      <protection locked="0"/>
    </xf>
    <xf numFmtId="1" fontId="14" fillId="2" borderId="1" xfId="0" applyNumberFormat="1" applyFont="1" applyFill="1" applyBorder="1" applyProtection="1">
      <protection locked="0"/>
    </xf>
    <xf numFmtId="165" fontId="14" fillId="2" borderId="46" xfId="0" applyNumberFormat="1" applyFont="1" applyFill="1" applyBorder="1" applyAlignment="1" applyProtection="1">
      <alignment horizontal="right"/>
      <protection locked="0"/>
    </xf>
    <xf numFmtId="165" fontId="14" fillId="2" borderId="1" xfId="0" applyNumberFormat="1" applyFont="1" applyFill="1" applyBorder="1" applyProtection="1">
      <protection locked="0"/>
    </xf>
    <xf numFmtId="2" fontId="14" fillId="2" borderId="24" xfId="0" applyNumberFormat="1" applyFont="1" applyFill="1" applyBorder="1" applyAlignment="1" applyProtection="1">
      <alignment horizontal="center"/>
      <protection locked="0"/>
    </xf>
    <xf numFmtId="1" fontId="14" fillId="2" borderId="46" xfId="0" applyNumberFormat="1" applyFont="1" applyFill="1" applyBorder="1" applyProtection="1">
      <protection locked="0"/>
    </xf>
    <xf numFmtId="164" fontId="14" fillId="2" borderId="46" xfId="2" applyNumberFormat="1" applyFont="1" applyFill="1" applyBorder="1" applyAlignment="1" applyProtection="1">
      <alignment horizontal="right"/>
      <protection locked="0"/>
    </xf>
    <xf numFmtId="165" fontId="14" fillId="2" borderId="46" xfId="0" applyNumberFormat="1" applyFont="1" applyFill="1" applyBorder="1" applyProtection="1">
      <protection locked="0"/>
    </xf>
    <xf numFmtId="49" fontId="14" fillId="2" borderId="45" xfId="0" applyNumberFormat="1" applyFont="1" applyFill="1" applyBorder="1" applyAlignment="1" applyProtection="1">
      <alignment horizontal="center"/>
      <protection locked="0"/>
    </xf>
    <xf numFmtId="2" fontId="14" fillId="2" borderId="46" xfId="0" applyNumberFormat="1" applyFont="1" applyFill="1" applyBorder="1" applyProtection="1">
      <protection locked="0"/>
    </xf>
    <xf numFmtId="2" fontId="14" fillId="2" borderId="1" xfId="0" applyNumberFormat="1" applyFont="1" applyFill="1" applyBorder="1" applyProtection="1">
      <protection locked="0"/>
    </xf>
    <xf numFmtId="164" fontId="14" fillId="2" borderId="1" xfId="2" applyNumberFormat="1" applyFont="1" applyFill="1" applyBorder="1" applyAlignment="1" applyProtection="1">
      <alignment horizontal="right"/>
      <protection locked="0"/>
    </xf>
    <xf numFmtId="49" fontId="14" fillId="2" borderId="24" xfId="0" applyNumberFormat="1" applyFont="1" applyFill="1" applyBorder="1" applyAlignment="1" applyProtection="1">
      <alignment horizontal="center"/>
      <protection locked="0"/>
    </xf>
    <xf numFmtId="165" fontId="14" fillId="2" borderId="15" xfId="0" applyNumberFormat="1" applyFont="1" applyFill="1" applyBorder="1" applyAlignment="1" applyProtection="1">
      <alignment horizontal="right"/>
      <protection locked="0"/>
    </xf>
    <xf numFmtId="164" fontId="14" fillId="2" borderId="15" xfId="2" applyNumberFormat="1" applyFont="1" applyFill="1" applyBorder="1" applyAlignment="1" applyProtection="1">
      <alignment horizontal="right"/>
      <protection locked="0"/>
    </xf>
    <xf numFmtId="165" fontId="14" fillId="2" borderId="15" xfId="0" applyNumberFormat="1" applyFont="1" applyFill="1" applyBorder="1" applyProtection="1">
      <protection locked="0"/>
    </xf>
    <xf numFmtId="2" fontId="14" fillId="2" borderId="47" xfId="0" applyNumberFormat="1" applyFont="1" applyFill="1" applyBorder="1" applyAlignment="1" applyProtection="1">
      <alignment horizontal="center"/>
      <protection locked="0"/>
    </xf>
    <xf numFmtId="1" fontId="14" fillId="2" borderId="15" xfId="0" applyNumberFormat="1" applyFont="1" applyFill="1" applyBorder="1" applyProtection="1">
      <protection locked="0"/>
    </xf>
    <xf numFmtId="49" fontId="14" fillId="2" borderId="47" xfId="0" applyNumberFormat="1" applyFont="1" applyFill="1" applyBorder="1" applyAlignment="1" applyProtection="1">
      <alignment horizontal="center"/>
      <protection locked="0"/>
    </xf>
    <xf numFmtId="0" fontId="13" fillId="2" borderId="1" xfId="0" applyFont="1" applyFill="1" applyBorder="1" applyProtection="1">
      <protection locked="0"/>
    </xf>
    <xf numFmtId="165" fontId="13" fillId="2" borderId="1" xfId="0" applyNumberFormat="1" applyFont="1" applyFill="1" applyBorder="1" applyProtection="1">
      <protection locked="0"/>
    </xf>
    <xf numFmtId="2" fontId="13" fillId="2" borderId="1" xfId="0" applyNumberFormat="1" applyFont="1" applyFill="1" applyBorder="1" applyProtection="1">
      <protection locked="0"/>
    </xf>
    <xf numFmtId="0" fontId="13" fillId="2" borderId="26" xfId="0" applyFont="1" applyFill="1" applyBorder="1" applyProtection="1">
      <protection locked="0"/>
    </xf>
    <xf numFmtId="2" fontId="13" fillId="2" borderId="26" xfId="0" applyNumberFormat="1" applyFont="1" applyFill="1" applyBorder="1" applyProtection="1">
      <protection locked="0"/>
    </xf>
    <xf numFmtId="0" fontId="10" fillId="2" borderId="0" xfId="0" applyFont="1" applyFill="1" applyAlignment="1" applyProtection="1">
      <alignment horizontal="justify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13" fillId="2" borderId="8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16" fillId="2" borderId="1" xfId="0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2" fontId="14" fillId="2" borderId="1" xfId="2" applyNumberFormat="1" applyFont="1" applyFill="1" applyBorder="1" applyProtection="1">
      <protection locked="0"/>
    </xf>
    <xf numFmtId="1" fontId="14" fillId="2" borderId="1" xfId="2" applyNumberFormat="1" applyFont="1" applyFill="1" applyBorder="1" applyProtection="1">
      <protection locked="0"/>
    </xf>
    <xf numFmtId="0" fontId="14" fillId="2" borderId="1" xfId="2" applyFont="1" applyFill="1" applyBorder="1" applyProtection="1">
      <protection locked="0"/>
    </xf>
    <xf numFmtId="164" fontId="14" fillId="2" borderId="1" xfId="2" applyNumberFormat="1" applyFont="1" applyFill="1" applyBorder="1" applyProtection="1">
      <protection locked="0"/>
    </xf>
    <xf numFmtId="165" fontId="14" fillId="2" borderId="1" xfId="2" applyNumberFormat="1" applyFont="1" applyFill="1" applyBorder="1" applyProtection="1">
      <protection locked="0"/>
    </xf>
    <xf numFmtId="0" fontId="13" fillId="2" borderId="24" xfId="2" applyFont="1" applyFill="1" applyBorder="1" applyAlignment="1" applyProtection="1">
      <alignment horizontal="center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0" fontId="0" fillId="2" borderId="0" xfId="0" applyFill="1"/>
    <xf numFmtId="0" fontId="13" fillId="2" borderId="0" xfId="0" applyFont="1" applyFill="1" applyAlignment="1" applyProtection="1">
      <alignment horizontal="justify" vertical="center"/>
      <protection locked="0"/>
    </xf>
    <xf numFmtId="2" fontId="13" fillId="2" borderId="0" xfId="0" applyNumberFormat="1" applyFont="1" applyFill="1" applyAlignment="1" applyProtection="1">
      <alignment horizontal="right"/>
      <protection locked="0"/>
    </xf>
    <xf numFmtId="0" fontId="13" fillId="2" borderId="0" xfId="0" applyFont="1" applyFill="1" applyAlignment="1" applyProtection="1">
      <alignment horizontal="justify"/>
      <protection locked="0"/>
    </xf>
    <xf numFmtId="0" fontId="10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2" fontId="9" fillId="2" borderId="0" xfId="0" applyNumberFormat="1" applyFont="1" applyFill="1" applyAlignment="1" applyProtection="1">
      <alignment horizontal="right"/>
      <protection locked="0"/>
    </xf>
    <xf numFmtId="0" fontId="13" fillId="2" borderId="45" xfId="0" applyFont="1" applyFill="1" applyBorder="1" applyAlignment="1" applyProtection="1">
      <alignment horizontal="center"/>
      <protection locked="0"/>
    </xf>
    <xf numFmtId="0" fontId="13" fillId="2" borderId="24" xfId="0" applyFont="1" applyFill="1" applyBorder="1" applyAlignment="1" applyProtection="1">
      <alignment horizontal="center"/>
      <protection locked="0"/>
    </xf>
    <xf numFmtId="1" fontId="14" fillId="0" borderId="15" xfId="0" applyNumberFormat="1" applyFont="1" applyBorder="1" applyAlignment="1" applyProtection="1">
      <alignment horizontal="right" vertical="center" wrapText="1"/>
      <protection locked="0"/>
    </xf>
    <xf numFmtId="2" fontId="14" fillId="0" borderId="15" xfId="0" applyNumberFormat="1" applyFont="1" applyBorder="1" applyAlignment="1" applyProtection="1">
      <alignment horizontal="right" vertical="center" wrapText="1"/>
      <protection locked="0"/>
    </xf>
    <xf numFmtId="1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4" fillId="0" borderId="47" xfId="0" applyNumberFormat="1" applyFont="1" applyBorder="1" applyAlignment="1" applyProtection="1">
      <alignment horizontal="right" vertical="center" wrapText="1"/>
      <protection locked="0"/>
    </xf>
    <xf numFmtId="2" fontId="13" fillId="0" borderId="22" xfId="0" applyNumberFormat="1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horizontal="justify"/>
      <protection locked="0"/>
    </xf>
    <xf numFmtId="2" fontId="10" fillId="0" borderId="47" xfId="0" applyNumberFormat="1" applyFont="1" applyBorder="1" applyProtection="1">
      <protection locked="0"/>
    </xf>
    <xf numFmtId="0" fontId="11" fillId="0" borderId="1" xfId="0" applyFont="1" applyBorder="1" applyAlignment="1" applyProtection="1">
      <alignment horizontal="justify"/>
      <protection locked="0"/>
    </xf>
    <xf numFmtId="2" fontId="11" fillId="0" borderId="24" xfId="0" applyNumberFormat="1" applyFont="1" applyBorder="1" applyProtection="1">
      <protection locked="0"/>
    </xf>
    <xf numFmtId="2" fontId="14" fillId="0" borderId="1" xfId="0" applyNumberFormat="1" applyFont="1" applyBorder="1" applyAlignment="1" applyProtection="1">
      <alignment horizontal="right"/>
      <protection locked="0"/>
    </xf>
    <xf numFmtId="165" fontId="14" fillId="0" borderId="1" xfId="0" applyNumberFormat="1" applyFont="1" applyBorder="1" applyAlignment="1" applyProtection="1">
      <alignment horizontal="right"/>
      <protection locked="0"/>
    </xf>
    <xf numFmtId="0" fontId="14" fillId="0" borderId="24" xfId="0" applyFont="1" applyBorder="1" applyAlignment="1" applyProtection="1">
      <alignment horizontal="center"/>
      <protection locked="0"/>
    </xf>
    <xf numFmtId="2" fontId="13" fillId="0" borderId="1" xfId="0" applyNumberFormat="1" applyFont="1" applyBorder="1" applyAlignment="1" applyProtection="1">
      <alignment horizontal="right"/>
      <protection locked="0"/>
    </xf>
    <xf numFmtId="165" fontId="13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justify"/>
      <protection locked="0"/>
    </xf>
    <xf numFmtId="2" fontId="9" fillId="0" borderId="1" xfId="0" applyNumberFormat="1" applyFont="1" applyBorder="1" applyAlignment="1" applyProtection="1">
      <alignment horizontal="right"/>
      <protection locked="0"/>
    </xf>
    <xf numFmtId="0" fontId="9" fillId="0" borderId="24" xfId="0" applyFont="1" applyBorder="1" applyAlignment="1" applyProtection="1">
      <alignment horizontal="justify"/>
      <protection locked="0"/>
    </xf>
    <xf numFmtId="0" fontId="11" fillId="0" borderId="15" xfId="0" applyFont="1" applyBorder="1" applyAlignment="1" applyProtection="1">
      <alignment horizontal="justify"/>
      <protection locked="0"/>
    </xf>
    <xf numFmtId="0" fontId="10" fillId="0" borderId="8" xfId="0" applyFont="1" applyBorder="1" applyAlignment="1" applyProtection="1">
      <alignment horizontal="center"/>
      <protection locked="0"/>
    </xf>
    <xf numFmtId="2" fontId="10" fillId="0" borderId="47" xfId="0" applyNumberFormat="1" applyFont="1" applyBorder="1" applyAlignment="1" applyProtection="1">
      <alignment horizontal="center"/>
      <protection locked="0"/>
    </xf>
    <xf numFmtId="164" fontId="13" fillId="0" borderId="73" xfId="0" applyNumberFormat="1" applyFont="1" applyBorder="1" applyAlignment="1" applyProtection="1">
      <alignment horizontal="right"/>
      <protection locked="0"/>
    </xf>
    <xf numFmtId="164" fontId="13" fillId="0" borderId="62" xfId="0" applyNumberFormat="1" applyFont="1" applyBorder="1" applyAlignment="1" applyProtection="1">
      <alignment horizontal="right"/>
      <protection locked="0"/>
    </xf>
    <xf numFmtId="0" fontId="11" fillId="0" borderId="30" xfId="0" applyFont="1" applyBorder="1" applyAlignment="1" applyProtection="1">
      <alignment horizontal="justify" vertical="center"/>
      <protection locked="0"/>
    </xf>
    <xf numFmtId="1" fontId="14" fillId="0" borderId="1" xfId="0" applyNumberFormat="1" applyFont="1" applyBorder="1" applyAlignment="1" applyProtection="1">
      <alignment horizontal="right"/>
      <protection locked="0"/>
    </xf>
    <xf numFmtId="2" fontId="14" fillId="0" borderId="46" xfId="0" applyNumberFormat="1" applyFont="1" applyBorder="1" applyAlignment="1" applyProtection="1">
      <alignment horizontal="right"/>
      <protection locked="0"/>
    </xf>
    <xf numFmtId="2" fontId="14" fillId="0" borderId="45" xfId="0" applyNumberFormat="1" applyFont="1" applyBorder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right"/>
      <protection locked="0"/>
    </xf>
    <xf numFmtId="2" fontId="13" fillId="0" borderId="24" xfId="0" applyNumberFormat="1" applyFont="1" applyBorder="1" applyAlignment="1" applyProtection="1">
      <alignment horizontal="right"/>
      <protection locked="0"/>
    </xf>
    <xf numFmtId="1" fontId="14" fillId="0" borderId="15" xfId="0" applyNumberFormat="1" applyFont="1" applyBorder="1" applyAlignment="1" applyProtection="1">
      <alignment horizontal="right"/>
      <protection locked="0"/>
    </xf>
    <xf numFmtId="0" fontId="14" fillId="0" borderId="15" xfId="0" applyFont="1" applyBorder="1" applyAlignment="1" applyProtection="1">
      <alignment horizontal="right"/>
      <protection locked="0"/>
    </xf>
    <xf numFmtId="2" fontId="13" fillId="0" borderId="15" xfId="0" applyNumberFormat="1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right"/>
      <protection locked="0"/>
    </xf>
    <xf numFmtId="1" fontId="14" fillId="0" borderId="0" xfId="0" applyNumberFormat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2" fontId="13" fillId="0" borderId="0" xfId="0" applyNumberFormat="1" applyFont="1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/>
    <xf numFmtId="165" fontId="6" fillId="0" borderId="1" xfId="0" applyNumberFormat="1" applyFont="1" applyBorder="1"/>
    <xf numFmtId="0" fontId="3" fillId="0" borderId="0" xfId="0" applyFont="1" applyAlignme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Protection="1">
      <protection locked="0"/>
    </xf>
    <xf numFmtId="0" fontId="29" fillId="0" borderId="0" xfId="0" applyFont="1" applyAlignment="1">
      <alignment horizontal="justify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0" fontId="39" fillId="0" borderId="0" xfId="0" applyFont="1"/>
    <xf numFmtId="0" fontId="1" fillId="0" borderId="0" xfId="0" applyFont="1"/>
    <xf numFmtId="0" fontId="3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vertical="center"/>
    </xf>
    <xf numFmtId="0" fontId="3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top" wrapText="1"/>
    </xf>
    <xf numFmtId="2" fontId="21" fillId="0" borderId="1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3" xfId="0" applyFont="1" applyBorder="1" applyProtection="1">
      <protection locked="0"/>
    </xf>
    <xf numFmtId="165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 applyProtection="1">
      <alignment horizontal="right" vertical="center"/>
      <protection locked="0"/>
    </xf>
    <xf numFmtId="1" fontId="12" fillId="0" borderId="1" xfId="0" applyNumberFormat="1" applyFont="1" applyBorder="1" applyAlignment="1" applyProtection="1">
      <alignment horizontal="right"/>
      <protection locked="0"/>
    </xf>
    <xf numFmtId="0" fontId="29" fillId="0" borderId="15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0" fontId="29" fillId="0" borderId="15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/>
    </xf>
    <xf numFmtId="0" fontId="28" fillId="0" borderId="1" xfId="0" applyFont="1" applyBorder="1" applyProtection="1"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2" fontId="12" fillId="0" borderId="1" xfId="0" applyNumberFormat="1" applyFont="1" applyBorder="1" applyAlignment="1" applyProtection="1">
      <alignment horizontal="right"/>
      <protection locked="0"/>
    </xf>
    <xf numFmtId="0" fontId="12" fillId="0" borderId="1" xfId="0" applyFont="1" applyBorder="1" applyProtection="1">
      <protection locked="0"/>
    </xf>
    <xf numFmtId="2" fontId="29" fillId="8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 applyProtection="1">
      <alignment horizontal="justify" wrapText="1"/>
      <protection locked="0"/>
    </xf>
    <xf numFmtId="2" fontId="29" fillId="2" borderId="1" xfId="0" applyNumberFormat="1" applyFont="1" applyFill="1" applyBorder="1" applyAlignment="1">
      <alignment horizontal="center" vertical="center"/>
    </xf>
    <xf numFmtId="2" fontId="29" fillId="2" borderId="1" xfId="0" applyNumberFormat="1" applyFont="1" applyFill="1" applyBorder="1" applyAlignment="1">
      <alignment horizontal="right" vertical="center"/>
    </xf>
    <xf numFmtId="0" fontId="29" fillId="2" borderId="1" xfId="0" applyFont="1" applyFill="1" applyBorder="1" applyAlignment="1">
      <alignment horizontal="center" vertical="center"/>
    </xf>
    <xf numFmtId="1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horizontal="right"/>
      <protection locked="0"/>
    </xf>
    <xf numFmtId="0" fontId="29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horizontal="right"/>
      <protection locked="0"/>
    </xf>
    <xf numFmtId="2" fontId="30" fillId="0" borderId="0" xfId="0" applyNumberFormat="1" applyFont="1" applyAlignment="1">
      <alignment horizontal="right"/>
    </xf>
    <xf numFmtId="0" fontId="29" fillId="0" borderId="6" xfId="2" applyFont="1" applyBorder="1" applyAlignment="1" applyProtection="1">
      <alignment horizontal="center" vertical="center" wrapText="1"/>
      <protection locked="0"/>
    </xf>
    <xf numFmtId="0" fontId="21" fillId="0" borderId="1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6" borderId="1" xfId="2" applyFont="1" applyFill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2" fontId="21" fillId="6" borderId="1" xfId="2" applyNumberFormat="1" applyFont="1" applyFill="1" applyBorder="1" applyAlignment="1">
      <alignment horizontal="center" wrapText="1"/>
    </xf>
    <xf numFmtId="165" fontId="21" fillId="0" borderId="1" xfId="2" applyNumberFormat="1" applyFont="1" applyBorder="1" applyAlignment="1">
      <alignment horizontal="center"/>
    </xf>
    <xf numFmtId="2" fontId="21" fillId="0" borderId="1" xfId="2" applyNumberFormat="1" applyFont="1" applyBorder="1" applyAlignment="1">
      <alignment horizontal="center"/>
    </xf>
    <xf numFmtId="165" fontId="29" fillId="0" borderId="4" xfId="0" applyNumberFormat="1" applyFont="1" applyBorder="1" applyAlignment="1">
      <alignment horizontal="center" vertical="center"/>
    </xf>
    <xf numFmtId="165" fontId="30" fillId="0" borderId="4" xfId="0" applyNumberFormat="1" applyFont="1" applyBorder="1" applyAlignment="1">
      <alignment horizontal="center" vertical="center"/>
    </xf>
    <xf numFmtId="0" fontId="21" fillId="0" borderId="1" xfId="0" applyFont="1" applyBorder="1" applyAlignment="1" applyProtection="1">
      <alignment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49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Protection="1">
      <protection locked="0"/>
    </xf>
    <xf numFmtId="2" fontId="21" fillId="0" borderId="1" xfId="0" applyNumberFormat="1" applyFont="1" applyBorder="1" applyProtection="1">
      <protection locked="0"/>
    </xf>
    <xf numFmtId="165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9" fillId="0" borderId="1" xfId="0" applyFont="1" applyBorder="1" applyAlignment="1" applyProtection="1">
      <alignment horizontal="justify" vertical="center"/>
      <protection locked="0"/>
    </xf>
    <xf numFmtId="0" fontId="19" fillId="0" borderId="1" xfId="0" applyFont="1" applyBorder="1" applyAlignment="1" applyProtection="1">
      <alignment horizontal="justify" vertical="center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19" fillId="0" borderId="1" xfId="0" applyFont="1" applyBorder="1" applyAlignment="1" applyProtection="1">
      <alignment horizontal="center" wrapText="1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1" fillId="6" borderId="1" xfId="0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2" fontId="21" fillId="6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left" vertical="center" wrapText="1"/>
      <protection locked="0"/>
    </xf>
    <xf numFmtId="165" fontId="19" fillId="0" borderId="1" xfId="0" applyNumberFormat="1" applyFont="1" applyBorder="1" applyAlignment="1" applyProtection="1">
      <alignment horizontal="right" vertical="center" wrapText="1"/>
      <protection locked="0"/>
    </xf>
    <xf numFmtId="2" fontId="19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5" xfId="0" applyBorder="1" applyProtection="1"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Alignment="1" applyProtection="1">
      <alignment vertical="center"/>
      <protection locked="0"/>
    </xf>
    <xf numFmtId="2" fontId="21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2" fontId="19" fillId="0" borderId="1" xfId="0" applyNumberFormat="1" applyFont="1" applyBorder="1" applyAlignment="1" applyProtection="1">
      <alignment horizontal="right" wrapText="1"/>
      <protection locked="0"/>
    </xf>
    <xf numFmtId="2" fontId="19" fillId="0" borderId="1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>
      <alignment horizontal="center" wrapText="1"/>
    </xf>
    <xf numFmtId="0" fontId="19" fillId="0" borderId="7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0" borderId="75" xfId="0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49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right" wrapText="1"/>
    </xf>
    <xf numFmtId="2" fontId="21" fillId="0" borderId="4" xfId="0" applyNumberFormat="1" applyFont="1" applyBorder="1" applyAlignment="1">
      <alignment horizontal="right" wrapText="1"/>
    </xf>
    <xf numFmtId="2" fontId="21" fillId="0" borderId="75" xfId="0" applyNumberFormat="1" applyFont="1" applyBorder="1" applyProtection="1">
      <protection locked="0"/>
    </xf>
    <xf numFmtId="2" fontId="21" fillId="0" borderId="0" xfId="0" applyNumberFormat="1" applyFont="1" applyAlignment="1" applyProtection="1">
      <alignment horizontal="right"/>
      <protection locked="0"/>
    </xf>
    <xf numFmtId="49" fontId="21" fillId="0" borderId="1" xfId="0" applyNumberFormat="1" applyFont="1" applyBorder="1" applyAlignment="1">
      <alignment horizontal="center" vertical="center" wrapText="1"/>
    </xf>
    <xf numFmtId="2" fontId="21" fillId="0" borderId="75" xfId="0" applyNumberFormat="1" applyFont="1" applyBorder="1" applyAlignment="1">
      <alignment horizontal="right"/>
    </xf>
    <xf numFmtId="2" fontId="21" fillId="0" borderId="0" xfId="0" applyNumberFormat="1" applyFont="1" applyAlignment="1">
      <alignment horizontal="right" wrapText="1"/>
    </xf>
    <xf numFmtId="0" fontId="2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wrapText="1"/>
    </xf>
    <xf numFmtId="2" fontId="20" fillId="0" borderId="1" xfId="0" applyNumberFormat="1" applyFont="1" applyBorder="1" applyAlignment="1">
      <alignment wrapText="1"/>
    </xf>
    <xf numFmtId="1" fontId="20" fillId="0" borderId="75" xfId="0" applyNumberFormat="1" applyFont="1" applyBorder="1"/>
    <xf numFmtId="2" fontId="20" fillId="0" borderId="0" xfId="0" applyNumberFormat="1" applyFont="1"/>
    <xf numFmtId="0" fontId="20" fillId="0" borderId="0" xfId="0" applyFont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165" fontId="29" fillId="0" borderId="0" xfId="0" applyNumberFormat="1" applyFont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30" fillId="0" borderId="0" xfId="0" applyFont="1" applyAlignment="1">
      <alignment horizontal="justify" vertical="center" wrapText="1"/>
    </xf>
    <xf numFmtId="0" fontId="29" fillId="0" borderId="1" xfId="0" applyFont="1" applyBorder="1" applyAlignment="1">
      <alignment horizontal="center"/>
    </xf>
    <xf numFmtId="49" fontId="29" fillId="0" borderId="1" xfId="0" applyNumberFormat="1" applyFont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 applyProtection="1">
      <alignment horizontal="center"/>
      <protection locked="0"/>
    </xf>
    <xf numFmtId="2" fontId="33" fillId="0" borderId="1" xfId="0" applyNumberFormat="1" applyFont="1" applyBorder="1" applyAlignment="1">
      <alignment horizontal="right"/>
    </xf>
    <xf numFmtId="1" fontId="30" fillId="0" borderId="4" xfId="0" applyNumberFormat="1" applyFont="1" applyBorder="1" applyAlignment="1">
      <alignment horizontal="right"/>
    </xf>
    <xf numFmtId="2" fontId="33" fillId="0" borderId="1" xfId="0" applyNumberFormat="1" applyFont="1" applyBorder="1" applyAlignment="1" applyProtection="1">
      <alignment horizontal="center"/>
      <protection locked="0"/>
    </xf>
    <xf numFmtId="49" fontId="29" fillId="0" borderId="1" xfId="0" applyNumberFormat="1" applyFont="1" applyBorder="1" applyAlignment="1">
      <alignment horizontal="right" wrapText="1"/>
    </xf>
    <xf numFmtId="0" fontId="29" fillId="0" borderId="1" xfId="0" applyFont="1" applyBorder="1" applyAlignment="1" applyProtection="1">
      <alignment horizontal="center"/>
      <protection locked="0"/>
    </xf>
    <xf numFmtId="49" fontId="30" fillId="6" borderId="1" xfId="0" applyNumberFormat="1" applyFont="1" applyFill="1" applyBorder="1" applyAlignment="1">
      <alignment horizontal="right" wrapText="1"/>
    </xf>
    <xf numFmtId="49" fontId="30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 applyProtection="1">
      <alignment horizontal="center"/>
      <protection locked="0"/>
    </xf>
    <xf numFmtId="0" fontId="30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center"/>
      <protection locked="0"/>
    </xf>
    <xf numFmtId="2" fontId="30" fillId="0" borderId="0" xfId="0" applyNumberFormat="1" applyFont="1" applyAlignment="1">
      <alignment horizontal="center"/>
    </xf>
    <xf numFmtId="0" fontId="30" fillId="0" borderId="1" xfId="0" applyFont="1" applyBorder="1" applyAlignment="1" applyProtection="1">
      <alignment horizontal="center" vertical="center"/>
      <protection locked="0"/>
    </xf>
    <xf numFmtId="0" fontId="29" fillId="6" borderId="5" xfId="0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center" wrapText="1"/>
    </xf>
    <xf numFmtId="2" fontId="29" fillId="6" borderId="2" xfId="0" applyNumberFormat="1" applyFont="1" applyFill="1" applyBorder="1" applyAlignment="1">
      <alignment horizontal="right" wrapText="1"/>
    </xf>
    <xf numFmtId="2" fontId="29" fillId="0" borderId="2" xfId="0" applyNumberFormat="1" applyFont="1" applyBorder="1" applyAlignment="1">
      <alignment horizontal="right"/>
    </xf>
    <xf numFmtId="0" fontId="29" fillId="0" borderId="2" xfId="0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 applyProtection="1">
      <alignment horizontal="justify" vertical="center"/>
      <protection locked="0"/>
    </xf>
    <xf numFmtId="0" fontId="13" fillId="0" borderId="0" xfId="0" applyFont="1" applyAlignment="1" applyProtection="1">
      <alignment horizontal="left" wrapText="1"/>
      <protection locked="0"/>
    </xf>
    <xf numFmtId="49" fontId="19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2" fontId="30" fillId="0" borderId="5" xfId="0" applyNumberFormat="1" applyFont="1" applyBorder="1" applyAlignment="1">
      <alignment horizontal="right"/>
    </xf>
    <xf numFmtId="0" fontId="30" fillId="0" borderId="5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1" fontId="30" fillId="0" borderId="1" xfId="0" applyNumberFormat="1" applyFont="1" applyBorder="1" applyAlignment="1">
      <alignment horizontal="right"/>
    </xf>
    <xf numFmtId="49" fontId="30" fillId="0" borderId="1" xfId="0" applyNumberFormat="1" applyFont="1" applyBorder="1" applyAlignment="1">
      <alignment horizontal="center" vertical="center"/>
    </xf>
    <xf numFmtId="2" fontId="29" fillId="6" borderId="5" xfId="0" applyNumberFormat="1" applyFont="1" applyFill="1" applyBorder="1" applyAlignment="1">
      <alignment horizontal="right" wrapText="1"/>
    </xf>
    <xf numFmtId="2" fontId="29" fillId="0" borderId="5" xfId="0" applyNumberFormat="1" applyFont="1" applyBorder="1" applyAlignment="1">
      <alignment horizontal="right"/>
    </xf>
    <xf numFmtId="2" fontId="29" fillId="0" borderId="5" xfId="0" applyNumberFormat="1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center" vertical="center" wrapText="1"/>
      <protection locked="0"/>
    </xf>
    <xf numFmtId="2" fontId="21" fillId="0" borderId="1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0" xfId="0" applyNumberFormat="1" applyFont="1" applyAlignment="1" applyProtection="1">
      <alignment horizontal="right"/>
      <protection locked="0"/>
    </xf>
    <xf numFmtId="165" fontId="19" fillId="0" borderId="0" xfId="0" applyNumberFormat="1" applyFont="1" applyProtection="1">
      <protection locked="0"/>
    </xf>
    <xf numFmtId="2" fontId="19" fillId="0" borderId="1" xfId="0" applyNumberFormat="1" applyFont="1" applyBorder="1" applyProtection="1">
      <protection locked="0"/>
    </xf>
    <xf numFmtId="165" fontId="19" fillId="0" borderId="4" xfId="0" applyNumberFormat="1" applyFont="1" applyBorder="1" applyAlignment="1">
      <alignment vertical="center"/>
    </xf>
    <xf numFmtId="165" fontId="19" fillId="0" borderId="5" xfId="0" applyNumberFormat="1" applyFont="1" applyBorder="1" applyAlignment="1">
      <alignment vertical="center"/>
    </xf>
    <xf numFmtId="165" fontId="19" fillId="0" borderId="6" xfId="0" applyNumberFormat="1" applyFont="1" applyBorder="1" applyAlignment="1" applyProtection="1">
      <alignment vertical="center"/>
      <protection locked="0"/>
    </xf>
    <xf numFmtId="2" fontId="14" fillId="0" borderId="68" xfId="0" applyNumberFormat="1" applyFont="1" applyBorder="1" applyAlignment="1" applyProtection="1">
      <alignment horizontal="right" vertical="center" wrapText="1"/>
      <protection locked="0"/>
    </xf>
    <xf numFmtId="2" fontId="13" fillId="0" borderId="53" xfId="0" applyNumberFormat="1" applyFont="1" applyBorder="1" applyAlignment="1" applyProtection="1">
      <alignment horizontal="right" vertical="center" wrapText="1"/>
      <protection locked="0"/>
    </xf>
    <xf numFmtId="2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3" fillId="0" borderId="65" xfId="0" applyNumberFormat="1" applyFont="1" applyBorder="1" applyAlignment="1" applyProtection="1">
      <alignment horizontal="right" vertical="center" wrapText="1"/>
      <protection locked="0"/>
    </xf>
    <xf numFmtId="2" fontId="13" fillId="0" borderId="0" xfId="0" applyNumberFormat="1" applyFont="1" applyProtection="1">
      <protection locked="0"/>
    </xf>
    <xf numFmtId="0" fontId="44" fillId="0" borderId="0" xfId="0" applyFont="1"/>
    <xf numFmtId="0" fontId="44" fillId="0" borderId="0" xfId="0" applyFont="1" applyAlignment="1">
      <alignment vertical="center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5" fillId="0" borderId="0" xfId="0" applyFont="1"/>
    <xf numFmtId="0" fontId="4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4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center" vertical="center"/>
    </xf>
    <xf numFmtId="0" fontId="46" fillId="0" borderId="1" xfId="0" applyFont="1" applyBorder="1"/>
    <xf numFmtId="0" fontId="44" fillId="0" borderId="1" xfId="0" applyFont="1" applyBorder="1"/>
    <xf numFmtId="2" fontId="44" fillId="0" borderId="1" xfId="0" applyNumberFormat="1" applyFont="1" applyBorder="1" applyAlignment="1">
      <alignment horizontal="center" vertical="center"/>
    </xf>
    <xf numFmtId="0" fontId="44" fillId="0" borderId="1" xfId="0" applyFont="1" applyBorder="1" applyAlignment="1">
      <alignment wrapText="1"/>
    </xf>
    <xf numFmtId="0" fontId="45" fillId="0" borderId="1" xfId="0" applyFont="1" applyBorder="1"/>
    <xf numFmtId="0" fontId="45" fillId="0" borderId="1" xfId="0" applyFont="1" applyBorder="1" applyAlignment="1">
      <alignment wrapText="1"/>
    </xf>
    <xf numFmtId="0" fontId="45" fillId="0" borderId="1" xfId="0" applyFont="1" applyBorder="1" applyAlignment="1">
      <alignment horizontal="center" vertical="center" wrapText="1"/>
    </xf>
    <xf numFmtId="1" fontId="9" fillId="0" borderId="0" xfId="0" applyNumberFormat="1" applyFont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1" xfId="0" applyFont="1" applyBorder="1" applyProtection="1">
      <protection locked="0"/>
    </xf>
    <xf numFmtId="0" fontId="21" fillId="0" borderId="1" xfId="0" applyFont="1" applyBorder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167" fontId="29" fillId="0" borderId="1" xfId="0" applyNumberFormat="1" applyFont="1" applyBorder="1" applyAlignment="1">
      <alignment horizontal="center" vertical="center"/>
    </xf>
    <xf numFmtId="49" fontId="29" fillId="0" borderId="0" xfId="0" applyNumberFormat="1" applyFont="1" applyAlignment="1">
      <alignment horizontal="center" vertical="center" wrapText="1"/>
    </xf>
    <xf numFmtId="0" fontId="32" fillId="0" borderId="0" xfId="0" applyFont="1" applyAlignment="1" applyProtection="1">
      <alignment horizontal="justify" vertical="top" wrapText="1"/>
      <protection locked="0"/>
    </xf>
    <xf numFmtId="0" fontId="32" fillId="0" borderId="0" xfId="0" applyFont="1" applyAlignment="1" applyProtection="1">
      <alignment horizontal="justify" wrapText="1"/>
      <protection locked="0"/>
    </xf>
    <xf numFmtId="1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 applyProtection="1">
      <alignment horizontal="center" vertical="center"/>
      <protection locked="0"/>
    </xf>
    <xf numFmtId="2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2" fontId="30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center"/>
    </xf>
    <xf numFmtId="49" fontId="32" fillId="0" borderId="1" xfId="0" applyNumberFormat="1" applyFont="1" applyBorder="1" applyAlignment="1">
      <alignment horizontal="center" vertical="center" wrapText="1"/>
    </xf>
    <xf numFmtId="1" fontId="29" fillId="0" borderId="1" xfId="0" applyNumberFormat="1" applyFont="1" applyBorder="1" applyAlignment="1" applyProtection="1">
      <alignment horizontal="center"/>
      <protection locked="0"/>
    </xf>
    <xf numFmtId="0" fontId="29" fillId="0" borderId="1" xfId="0" applyFont="1" applyBorder="1" applyAlignment="1" applyProtection="1">
      <alignment horizontal="justify"/>
      <protection locked="0"/>
    </xf>
    <xf numFmtId="0" fontId="19" fillId="0" borderId="1" xfId="0" applyFont="1" applyBorder="1" applyAlignment="1" applyProtection="1">
      <alignment horizontal="justify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right"/>
      <protection locked="0"/>
    </xf>
    <xf numFmtId="1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2" xfId="0" applyNumberFormat="1" applyFont="1" applyBorder="1" applyAlignment="1" applyProtection="1">
      <alignment horizontal="right" wrapText="1"/>
      <protection locked="0"/>
    </xf>
    <xf numFmtId="1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45" xfId="0" applyNumberFormat="1" applyFont="1" applyBorder="1" applyAlignment="1" applyProtection="1">
      <alignment horizontal="right" wrapText="1"/>
      <protection locked="0"/>
    </xf>
    <xf numFmtId="1" fontId="14" fillId="0" borderId="46" xfId="0" applyNumberFormat="1" applyFont="1" applyBorder="1" applyAlignment="1" applyProtection="1">
      <alignment horizontal="right" wrapText="1"/>
      <protection locked="0"/>
    </xf>
    <xf numFmtId="2" fontId="14" fillId="0" borderId="46" xfId="0" applyNumberFormat="1" applyFont="1" applyBorder="1" applyAlignment="1" applyProtection="1">
      <alignment horizontal="right" wrapText="1"/>
      <protection locked="0"/>
    </xf>
    <xf numFmtId="1" fontId="14" fillId="0" borderId="15" xfId="0" applyNumberFormat="1" applyFont="1" applyBorder="1" applyAlignment="1" applyProtection="1">
      <alignment horizontal="right" wrapText="1"/>
      <protection locked="0"/>
    </xf>
    <xf numFmtId="2" fontId="14" fillId="0" borderId="15" xfId="0" applyNumberFormat="1" applyFont="1" applyBorder="1" applyAlignment="1" applyProtection="1">
      <alignment horizontal="right" wrapText="1"/>
      <protection locked="0"/>
    </xf>
    <xf numFmtId="2" fontId="13" fillId="0" borderId="65" xfId="0" applyNumberFormat="1" applyFont="1" applyBorder="1" applyAlignment="1" applyProtection="1">
      <alignment horizontal="right" wrapText="1"/>
      <protection locked="0"/>
    </xf>
    <xf numFmtId="2" fontId="14" fillId="0" borderId="24" xfId="0" applyNumberFormat="1" applyFont="1" applyBorder="1" applyAlignment="1" applyProtection="1">
      <alignment horizontal="right" wrapText="1"/>
      <protection locked="0"/>
    </xf>
    <xf numFmtId="0" fontId="14" fillId="0" borderId="1" xfId="0" applyFont="1" applyBorder="1" applyProtection="1">
      <protection locked="0"/>
    </xf>
    <xf numFmtId="2" fontId="14" fillId="0" borderId="1" xfId="0" applyNumberFormat="1" applyFont="1" applyBorder="1" applyProtection="1">
      <protection locked="0"/>
    </xf>
    <xf numFmtId="0" fontId="14" fillId="0" borderId="15" xfId="0" applyFont="1" applyBorder="1" applyProtection="1">
      <protection locked="0"/>
    </xf>
    <xf numFmtId="2" fontId="13" fillId="0" borderId="27" xfId="0" applyNumberFormat="1" applyFont="1" applyBorder="1" applyProtection="1"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 applyAlignment="1" applyProtection="1">
      <alignment horizontal="right"/>
      <protection locked="0"/>
    </xf>
    <xf numFmtId="2" fontId="14" fillId="0" borderId="26" xfId="0" applyNumberFormat="1" applyFont="1" applyBorder="1" applyProtection="1">
      <protection locked="0"/>
    </xf>
    <xf numFmtId="2" fontId="14" fillId="0" borderId="27" xfId="0" applyNumberFormat="1" applyFont="1" applyBorder="1" applyAlignment="1" applyProtection="1">
      <alignment horizontal="right" vertical="center"/>
      <protection locked="0"/>
    </xf>
    <xf numFmtId="2" fontId="13" fillId="0" borderId="67" xfId="0" applyNumberFormat="1" applyFont="1" applyBorder="1" applyProtection="1">
      <protection locked="0"/>
    </xf>
    <xf numFmtId="165" fontId="14" fillId="0" borderId="26" xfId="0" applyNumberFormat="1" applyFont="1" applyBorder="1" applyAlignment="1" applyProtection="1">
      <alignment horizontal="right" vertical="justify" wrapText="1"/>
      <protection locked="0"/>
    </xf>
    <xf numFmtId="0" fontId="38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/>
    <xf numFmtId="2" fontId="3" fillId="0" borderId="1" xfId="0" applyNumberFormat="1" applyFont="1" applyBorder="1" applyAlignment="1">
      <alignment wrapText="1"/>
    </xf>
    <xf numFmtId="2" fontId="6" fillId="0" borderId="1" xfId="0" applyNumberFormat="1" applyFont="1" applyBorder="1"/>
    <xf numFmtId="2" fontId="6" fillId="0" borderId="1" xfId="0" applyNumberFormat="1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35" fillId="0" borderId="0" xfId="0" applyFont="1"/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165" fontId="14" fillId="0" borderId="1" xfId="0" applyNumberFormat="1" applyFont="1" applyBorder="1" applyAlignment="1" applyProtection="1">
      <alignment horizontal="right" vertical="justify" wrapText="1"/>
      <protection locked="0"/>
    </xf>
    <xf numFmtId="0" fontId="44" fillId="0" borderId="1" xfId="0" applyFont="1" applyBorder="1" applyAlignment="1">
      <alignment horizontal="left" vertical="center"/>
    </xf>
    <xf numFmtId="164" fontId="14" fillId="0" borderId="30" xfId="0" applyNumberFormat="1" applyFont="1" applyBorder="1" applyAlignment="1" applyProtection="1">
      <alignment horizontal="right" vertical="justify" wrapText="1"/>
      <protection locked="0"/>
    </xf>
    <xf numFmtId="165" fontId="14" fillId="0" borderId="54" xfId="0" applyNumberFormat="1" applyFont="1" applyBorder="1" applyAlignment="1" applyProtection="1">
      <alignment horizontal="right" vertical="justify" wrapText="1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0" borderId="4" xfId="0" applyNumberFormat="1" applyFont="1" applyBorder="1" applyAlignment="1">
      <alignment horizontal="left"/>
    </xf>
    <xf numFmtId="4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1" fontId="18" fillId="0" borderId="56" xfId="0" applyNumberFormat="1" applyFont="1" applyBorder="1" applyAlignment="1">
      <alignment horizontal="right"/>
    </xf>
    <xf numFmtId="49" fontId="11" fillId="0" borderId="57" xfId="0" applyNumberFormat="1" applyFont="1" applyBorder="1" applyAlignment="1">
      <alignment horizontal="left"/>
    </xf>
    <xf numFmtId="0" fontId="11" fillId="0" borderId="15" xfId="0" applyFont="1" applyBorder="1" applyAlignment="1">
      <alignment horizontal="left"/>
    </xf>
    <xf numFmtId="0" fontId="16" fillId="0" borderId="1" xfId="0" applyFont="1" applyBorder="1" applyAlignment="1">
      <alignment horizontal="right"/>
    </xf>
    <xf numFmtId="165" fontId="8" fillId="0" borderId="1" xfId="0" applyNumberFormat="1" applyFont="1" applyBorder="1"/>
    <xf numFmtId="0" fontId="45" fillId="0" borderId="1" xfId="0" applyFont="1" applyBorder="1" applyAlignment="1">
      <alignment vertical="center" wrapText="1"/>
    </xf>
    <xf numFmtId="49" fontId="9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center"/>
    </xf>
    <xf numFmtId="0" fontId="8" fillId="0" borderId="4" xfId="0" applyFont="1" applyBorder="1"/>
    <xf numFmtId="0" fontId="8" fillId="0" borderId="1" xfId="0" applyFont="1" applyBorder="1"/>
    <xf numFmtId="49" fontId="9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49" fontId="8" fillId="0" borderId="0" xfId="0" applyNumberFormat="1" applyFont="1" applyAlignment="1">
      <alignment horizontal="center"/>
    </xf>
    <xf numFmtId="49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 applyProtection="1">
      <alignment horizontal="center"/>
      <protection locked="0"/>
    </xf>
    <xf numFmtId="49" fontId="9" fillId="0" borderId="3" xfId="0" applyNumberFormat="1" applyFont="1" applyBorder="1"/>
    <xf numFmtId="0" fontId="9" fillId="0" borderId="3" xfId="0" applyFont="1" applyBorder="1" applyProtection="1">
      <protection locked="0"/>
    </xf>
    <xf numFmtId="0" fontId="8" fillId="0" borderId="2" xfId="0" applyFont="1" applyBorder="1"/>
    <xf numFmtId="49" fontId="10" fillId="0" borderId="1" xfId="0" applyNumberFormat="1" applyFont="1" applyBorder="1" applyAlignment="1">
      <alignment horizontal="justify" vertical="center"/>
    </xf>
    <xf numFmtId="0" fontId="11" fillId="0" borderId="1" xfId="0" applyFont="1" applyBorder="1"/>
    <xf numFmtId="0" fontId="11" fillId="0" borderId="1" xfId="0" applyFont="1" applyBorder="1" applyAlignment="1">
      <alignment horizontal="justify" vertical="center"/>
    </xf>
    <xf numFmtId="49" fontId="9" fillId="0" borderId="23" xfId="0" applyNumberFormat="1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2" fontId="8" fillId="0" borderId="4" xfId="0" applyNumberFormat="1" applyFont="1" applyBorder="1" applyAlignment="1">
      <alignment horizontal="right"/>
    </xf>
    <xf numFmtId="2" fontId="8" fillId="0" borderId="6" xfId="0" applyNumberFormat="1" applyFont="1" applyBorder="1" applyAlignment="1">
      <alignment horizontal="right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7" borderId="25" xfId="0" applyNumberFormat="1" applyFont="1" applyFill="1" applyBorder="1" applyAlignment="1">
      <alignment horizontal="left"/>
    </xf>
    <xf numFmtId="49" fontId="9" fillId="7" borderId="26" xfId="0" applyNumberFormat="1" applyFont="1" applyFill="1" applyBorder="1" applyAlignment="1">
      <alignment horizontal="left"/>
    </xf>
    <xf numFmtId="2" fontId="8" fillId="7" borderId="18" xfId="0" applyNumberFormat="1" applyFont="1" applyFill="1" applyBorder="1" applyAlignment="1">
      <alignment horizontal="right"/>
    </xf>
    <xf numFmtId="2" fontId="8" fillId="7" borderId="17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1" fontId="8" fillId="0" borderId="4" xfId="0" applyNumberFormat="1" applyFont="1" applyBorder="1" applyAlignment="1">
      <alignment horizontal="right"/>
    </xf>
    <xf numFmtId="1" fontId="8" fillId="0" borderId="6" xfId="0" applyNumberFormat="1" applyFont="1" applyBorder="1" applyAlignment="1">
      <alignment horizontal="right"/>
    </xf>
    <xf numFmtId="0" fontId="13" fillId="0" borderId="23" xfId="0" applyFont="1" applyBorder="1" applyAlignment="1" applyProtection="1">
      <alignment horizontal="justify"/>
      <protection locked="0"/>
    </xf>
    <xf numFmtId="0" fontId="13" fillId="0" borderId="5" xfId="0" applyFont="1" applyBorder="1" applyAlignment="1" applyProtection="1">
      <alignment horizontal="justify"/>
      <protection locked="0"/>
    </xf>
    <xf numFmtId="0" fontId="13" fillId="0" borderId="6" xfId="0" applyFont="1" applyBorder="1" applyAlignment="1" applyProtection="1">
      <alignment horizontal="justify"/>
      <protection locked="0"/>
    </xf>
    <xf numFmtId="2" fontId="8" fillId="0" borderId="4" xfId="0" applyNumberFormat="1" applyFont="1" applyBorder="1" applyProtection="1">
      <protection locked="0"/>
    </xf>
    <xf numFmtId="2" fontId="8" fillId="0" borderId="5" xfId="0" applyNumberFormat="1" applyFont="1" applyBorder="1" applyProtection="1">
      <protection locked="0"/>
    </xf>
    <xf numFmtId="2" fontId="8" fillId="0" borderId="6" xfId="0" applyNumberFormat="1" applyFont="1" applyBorder="1" applyProtection="1">
      <protection locked="0"/>
    </xf>
    <xf numFmtId="0" fontId="8" fillId="0" borderId="30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8" fillId="3" borderId="26" xfId="0" applyNumberFormat="1" applyFont="1" applyFill="1" applyBorder="1" applyAlignment="1">
      <alignment horizontal="center"/>
    </xf>
    <xf numFmtId="0" fontId="8" fillId="3" borderId="26" xfId="0" applyFont="1" applyFill="1" applyBorder="1" applyProtection="1">
      <protection locked="0"/>
    </xf>
    <xf numFmtId="49" fontId="8" fillId="3" borderId="11" xfId="0" applyNumberFormat="1" applyFont="1" applyFill="1" applyBorder="1" applyAlignment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2" fillId="3" borderId="14" xfId="0" applyFont="1" applyFill="1" applyBorder="1" applyAlignment="1" applyProtection="1">
      <alignment horizontal="center" vertical="center"/>
      <protection locked="0"/>
    </xf>
    <xf numFmtId="49" fontId="13" fillId="0" borderId="28" xfId="0" applyNumberFormat="1" applyFont="1" applyBorder="1" applyAlignment="1">
      <alignment horizontal="left" vertical="center"/>
    </xf>
    <xf numFmtId="49" fontId="13" fillId="0" borderId="3" xfId="0" applyNumberFormat="1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29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0" fontId="14" fillId="0" borderId="10" xfId="0" applyFont="1" applyBorder="1" applyAlignment="1" applyProtection="1">
      <alignment vertical="center"/>
      <protection locked="0"/>
    </xf>
    <xf numFmtId="0" fontId="8" fillId="0" borderId="1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0" fontId="11" fillId="0" borderId="24" xfId="0" applyFont="1" applyBorder="1" applyAlignment="1" applyProtection="1">
      <alignment horizontal="right"/>
      <protection locked="0"/>
    </xf>
    <xf numFmtId="0" fontId="9" fillId="0" borderId="23" xfId="0" applyFont="1" applyBorder="1" applyProtection="1">
      <protection locked="0"/>
    </xf>
    <xf numFmtId="1" fontId="11" fillId="2" borderId="4" xfId="0" applyNumberFormat="1" applyFont="1" applyFill="1" applyBorder="1" applyAlignment="1" applyProtection="1">
      <alignment horizontal="right"/>
      <protection locked="0"/>
    </xf>
    <xf numFmtId="1" fontId="11" fillId="2" borderId="6" xfId="0" applyNumberFormat="1" applyFont="1" applyFill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/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4" fillId="0" borderId="21" xfId="0" applyFont="1" applyBorder="1" applyAlignment="1" applyProtection="1">
      <alignment horizontal="right" vertical="center"/>
      <protection locked="0"/>
    </xf>
    <xf numFmtId="0" fontId="14" fillId="0" borderId="30" xfId="0" applyFon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2" fontId="13" fillId="4" borderId="5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3" fillId="4" borderId="4" xfId="0" applyNumberFormat="1" applyFont="1" applyFill="1" applyBorder="1" applyAlignment="1" applyProtection="1">
      <alignment horizontal="right" vertical="center"/>
      <protection locked="0"/>
    </xf>
    <xf numFmtId="2" fontId="12" fillId="4" borderId="6" xfId="0" applyNumberFormat="1" applyFont="1" applyFill="1" applyBorder="1" applyAlignment="1" applyProtection="1">
      <alignment horizontal="right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1" fontId="13" fillId="4" borderId="4" xfId="0" applyNumberFormat="1" applyFont="1" applyFill="1" applyBorder="1" applyAlignment="1" applyProtection="1">
      <alignment horizontal="right" vertical="center"/>
      <protection locked="0"/>
    </xf>
    <xf numFmtId="1" fontId="12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8" fillId="0" borderId="28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1" xfId="0" applyBorder="1" applyProtection="1">
      <protection locked="0"/>
    </xf>
    <xf numFmtId="0" fontId="14" fillId="0" borderId="32" xfId="0" applyFont="1" applyBorder="1" applyAlignment="1" applyProtection="1">
      <alignment horizontal="right" vertical="center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13" xfId="0" applyNumberFormat="1" applyFont="1" applyFill="1" applyBorder="1" applyAlignment="1" applyProtection="1">
      <alignment horizontal="right" vertical="center"/>
      <protection locked="0"/>
    </xf>
    <xf numFmtId="2" fontId="13" fillId="4" borderId="12" xfId="0" applyNumberFormat="1" applyFont="1" applyFill="1" applyBorder="1" applyAlignment="1" applyProtection="1">
      <alignment horizontal="right" vertical="center"/>
      <protection locked="0"/>
    </xf>
    <xf numFmtId="0" fontId="0" fillId="0" borderId="1" xfId="0" applyBorder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4" fillId="0" borderId="28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2" fontId="13" fillId="4" borderId="7" xfId="0" applyNumberFormat="1" applyFont="1" applyFill="1" applyBorder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horizontal="right" vertical="center"/>
      <protection locked="0"/>
    </xf>
    <xf numFmtId="0" fontId="14" fillId="0" borderId="7" xfId="0" applyFont="1" applyBorder="1" applyAlignment="1" applyProtection="1">
      <alignment horizontal="right" vertical="center"/>
      <protection locked="0"/>
    </xf>
    <xf numFmtId="2" fontId="13" fillId="4" borderId="3" xfId="0" applyNumberFormat="1" applyFont="1" applyFill="1" applyBorder="1" applyAlignment="1" applyProtection="1">
      <alignment horizontal="right" vertical="center"/>
      <protection locked="0"/>
    </xf>
    <xf numFmtId="2" fontId="13" fillId="4" borderId="8" xfId="0" applyNumberFormat="1" applyFont="1" applyFill="1" applyBorder="1" applyAlignment="1" applyProtection="1">
      <alignment horizontal="right" vertical="center"/>
      <protection locked="0"/>
    </xf>
    <xf numFmtId="2" fontId="14" fillId="0" borderId="7" xfId="0" applyNumberFormat="1" applyFont="1" applyBorder="1" applyAlignment="1" applyProtection="1">
      <alignment horizontal="right" vertical="center"/>
      <protection locked="0"/>
    </xf>
    <xf numFmtId="49" fontId="8" fillId="0" borderId="28" xfId="0" applyNumberFormat="1" applyFont="1" applyBorder="1" applyAlignment="1">
      <alignment horizontal="left" vertical="center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left" vertical="center"/>
      <protection locked="0"/>
    </xf>
    <xf numFmtId="0" fontId="12" fillId="0" borderId="37" xfId="0" applyFont="1" applyBorder="1" applyAlignment="1" applyProtection="1">
      <alignment horizontal="left" vertical="center"/>
      <protection locked="0"/>
    </xf>
    <xf numFmtId="0" fontId="12" fillId="0" borderId="38" xfId="0" applyFont="1" applyBorder="1" applyAlignment="1" applyProtection="1">
      <alignment horizontal="left" vertical="center"/>
      <protection locked="0"/>
    </xf>
    <xf numFmtId="0" fontId="12" fillId="0" borderId="39" xfId="0" applyFont="1" applyBorder="1" applyAlignment="1" applyProtection="1">
      <alignment horizontal="left" vertical="center"/>
      <protection locked="0"/>
    </xf>
    <xf numFmtId="2" fontId="8" fillId="0" borderId="4" xfId="0" applyNumberFormat="1" applyFont="1" applyBorder="1" applyAlignment="1">
      <alignment horizontal="center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8" fillId="0" borderId="33" xfId="0" applyFont="1" applyBorder="1" applyAlignment="1" applyProtection="1">
      <alignment horizontal="center"/>
      <protection locked="0"/>
    </xf>
    <xf numFmtId="2" fontId="14" fillId="0" borderId="18" xfId="0" applyNumberFormat="1" applyFont="1" applyBorder="1" applyAlignment="1">
      <alignment horizontal="right"/>
    </xf>
    <xf numFmtId="2" fontId="16" fillId="0" borderId="34" xfId="0" applyNumberFormat="1" applyFont="1" applyBorder="1" applyAlignment="1" applyProtection="1">
      <alignment horizontal="right"/>
      <protection locked="0"/>
    </xf>
    <xf numFmtId="2" fontId="16" fillId="0" borderId="17" xfId="0" applyNumberFormat="1" applyFont="1" applyBorder="1" applyAlignment="1" applyProtection="1">
      <alignment horizontal="right"/>
      <protection locked="0"/>
    </xf>
    <xf numFmtId="2" fontId="14" fillId="0" borderId="34" xfId="0" applyNumberFormat="1" applyFont="1" applyBorder="1" applyAlignment="1" applyProtection="1">
      <alignment horizontal="right"/>
      <protection locked="0"/>
    </xf>
    <xf numFmtId="2" fontId="14" fillId="0" borderId="19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2" fontId="16" fillId="0" borderId="0" xfId="0" applyNumberFormat="1" applyFont="1" applyAlignment="1" applyProtection="1">
      <alignment horizontal="right" vertical="justify"/>
      <protection locked="0"/>
    </xf>
    <xf numFmtId="49" fontId="9" fillId="0" borderId="4" xfId="0" applyNumberFormat="1" applyFont="1" applyBorder="1" applyAlignment="1">
      <alignment horizontal="left"/>
    </xf>
    <xf numFmtId="0" fontId="9" fillId="0" borderId="0" xfId="0" applyFont="1" applyAlignment="1">
      <alignment horizontal="center"/>
    </xf>
    <xf numFmtId="49" fontId="8" fillId="0" borderId="40" xfId="0" applyNumberFormat="1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49" fontId="8" fillId="5" borderId="40" xfId="0" applyNumberFormat="1" applyFont="1" applyFill="1" applyBorder="1" applyAlignment="1">
      <alignment horizontal="center"/>
    </xf>
    <xf numFmtId="0" fontId="9" fillId="5" borderId="41" xfId="0" applyFont="1" applyFill="1" applyBorder="1" applyAlignment="1">
      <alignment horizontal="center"/>
    </xf>
    <xf numFmtId="0" fontId="0" fillId="0" borderId="43" xfId="0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49" fontId="9" fillId="0" borderId="29" xfId="0" applyNumberFormat="1" applyFont="1" applyBorder="1" applyAlignment="1">
      <alignment horizontal="left"/>
    </xf>
    <xf numFmtId="0" fontId="9" fillId="0" borderId="2" xfId="0" applyFont="1" applyBorder="1"/>
    <xf numFmtId="49" fontId="8" fillId="0" borderId="35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49" fontId="9" fillId="0" borderId="46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 vertical="center"/>
    </xf>
    <xf numFmtId="0" fontId="15" fillId="0" borderId="1" xfId="0" applyFont="1" applyBorder="1" applyAlignment="1" applyProtection="1">
      <alignment horizontal="left"/>
      <protection locked="0"/>
    </xf>
    <xf numFmtId="49" fontId="9" fillId="0" borderId="28" xfId="0" applyNumberFormat="1" applyFont="1" applyBorder="1" applyAlignment="1">
      <alignment horizontal="left"/>
    </xf>
    <xf numFmtId="0" fontId="9" fillId="0" borderId="3" xfId="0" applyFont="1" applyBorder="1"/>
    <xf numFmtId="49" fontId="9" fillId="0" borderId="11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49" fontId="9" fillId="0" borderId="12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1" fontId="9" fillId="0" borderId="20" xfId="0" applyNumberFormat="1" applyFont="1" applyBorder="1" applyAlignment="1">
      <alignment horizontal="left"/>
    </xf>
    <xf numFmtId="1" fontId="9" fillId="0" borderId="12" xfId="0" applyNumberFormat="1" applyFont="1" applyBorder="1" applyAlignment="1">
      <alignment horizontal="left"/>
    </xf>
    <xf numFmtId="1" fontId="9" fillId="0" borderId="1" xfId="0" applyNumberFormat="1" applyFont="1" applyBorder="1" applyAlignment="1">
      <alignment horizontal="left"/>
    </xf>
    <xf numFmtId="49" fontId="8" fillId="5" borderId="49" xfId="0" applyNumberFormat="1" applyFont="1" applyFill="1" applyBorder="1" applyAlignment="1">
      <alignment horizontal="center"/>
    </xf>
    <xf numFmtId="0" fontId="9" fillId="5" borderId="43" xfId="0" applyFont="1" applyFill="1" applyBorder="1" applyAlignment="1">
      <alignment horizontal="center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49" fontId="9" fillId="0" borderId="50" xfId="0" applyNumberFormat="1" applyFont="1" applyBorder="1" applyAlignment="1">
      <alignment horizontal="left"/>
    </xf>
    <xf numFmtId="0" fontId="9" fillId="0" borderId="46" xfId="0" applyFont="1" applyBorder="1"/>
    <xf numFmtId="0" fontId="9" fillId="0" borderId="9" xfId="0" applyFont="1" applyBorder="1"/>
    <xf numFmtId="0" fontId="0" fillId="0" borderId="1" xfId="0" applyBorder="1" applyAlignment="1" applyProtection="1">
      <alignment horizontal="left"/>
      <protection locked="0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/>
    <xf numFmtId="0" fontId="9" fillId="0" borderId="24" xfId="0" applyFont="1" applyBorder="1"/>
    <xf numFmtId="49" fontId="14" fillId="0" borderId="1" xfId="0" applyNumberFormat="1" applyFont="1" applyBorder="1"/>
    <xf numFmtId="0" fontId="16" fillId="0" borderId="1" xfId="0" applyFont="1" applyBorder="1" applyProtection="1">
      <protection locked="0"/>
    </xf>
    <xf numFmtId="0" fontId="9" fillId="0" borderId="15" xfId="0" applyFont="1" applyBorder="1"/>
    <xf numFmtId="49" fontId="9" fillId="0" borderId="1" xfId="0" applyNumberFormat="1" applyFont="1" applyBorder="1"/>
    <xf numFmtId="0" fontId="15" fillId="0" borderId="1" xfId="0" applyFont="1" applyBorder="1" applyProtection="1">
      <protection locked="0"/>
    </xf>
    <xf numFmtId="0" fontId="9" fillId="0" borderId="5" xfId="0" applyFont="1" applyBorder="1"/>
    <xf numFmtId="49" fontId="8" fillId="0" borderId="28" xfId="0" applyNumberFormat="1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49" fontId="9" fillId="0" borderId="25" xfId="0" applyNumberFormat="1" applyFont="1" applyBorder="1" applyAlignment="1">
      <alignment horizontal="left"/>
    </xf>
    <xf numFmtId="0" fontId="9" fillId="0" borderId="26" xfId="0" applyFont="1" applyBorder="1"/>
    <xf numFmtId="0" fontId="9" fillId="0" borderId="18" xfId="0" applyFont="1" applyBorder="1"/>
    <xf numFmtId="49" fontId="11" fillId="0" borderId="1" xfId="0" applyNumberFormat="1" applyFont="1" applyBorder="1" applyAlignment="1">
      <alignment horizontal="left"/>
    </xf>
    <xf numFmtId="49" fontId="9" fillId="0" borderId="37" xfId="0" applyNumberFormat="1" applyFont="1" applyBorder="1" applyAlignment="1">
      <alignment horizontal="left"/>
    </xf>
    <xf numFmtId="0" fontId="9" fillId="0" borderId="38" xfId="0" applyFont="1" applyBorder="1"/>
    <xf numFmtId="0" fontId="11" fillId="0" borderId="46" xfId="0" applyFont="1" applyBorder="1"/>
    <xf numFmtId="0" fontId="0" fillId="0" borderId="46" xfId="0" applyBorder="1" applyProtection="1">
      <protection locked="0"/>
    </xf>
    <xf numFmtId="49" fontId="9" fillId="0" borderId="57" xfId="0" applyNumberFormat="1" applyFont="1" applyBorder="1" applyAlignment="1">
      <alignment horizontal="left"/>
    </xf>
    <xf numFmtId="0" fontId="9" fillId="0" borderId="7" xfId="0" applyFont="1" applyBorder="1"/>
    <xf numFmtId="49" fontId="9" fillId="0" borderId="32" xfId="0" applyNumberFormat="1" applyFont="1" applyBorder="1" applyAlignment="1">
      <alignment horizontal="left"/>
    </xf>
    <xf numFmtId="0" fontId="9" fillId="0" borderId="21" xfId="0" applyFont="1" applyBorder="1"/>
    <xf numFmtId="0" fontId="0" fillId="0" borderId="46" xfId="0" applyBorder="1" applyAlignment="1" applyProtection="1">
      <alignment horizontal="left"/>
      <protection locked="0"/>
    </xf>
    <xf numFmtId="0" fontId="11" fillId="0" borderId="10" xfId="0" applyFont="1" applyBorder="1"/>
    <xf numFmtId="0" fontId="11" fillId="0" borderId="6" xfId="0" applyFont="1" applyBorder="1"/>
    <xf numFmtId="49" fontId="9" fillId="0" borderId="16" xfId="0" applyNumberFormat="1" applyFont="1" applyBorder="1"/>
    <xf numFmtId="49" fontId="9" fillId="0" borderId="34" xfId="0" applyNumberFormat="1" applyFont="1" applyBorder="1"/>
    <xf numFmtId="0" fontId="9" fillId="0" borderId="17" xfId="0" applyFont="1" applyBorder="1" applyProtection="1">
      <protection locked="0"/>
    </xf>
    <xf numFmtId="49" fontId="8" fillId="0" borderId="49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9" fontId="8" fillId="0" borderId="32" xfId="0" applyNumberFormat="1" applyFont="1" applyBorder="1" applyAlignment="1">
      <alignment horizontal="center"/>
    </xf>
    <xf numFmtId="49" fontId="8" fillId="0" borderId="21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49" fontId="13" fillId="0" borderId="16" xfId="0" applyNumberFormat="1" applyFont="1" applyBorder="1" applyAlignment="1">
      <alignment horizontal="justify"/>
    </xf>
    <xf numFmtId="49" fontId="13" fillId="0" borderId="17" xfId="0" applyNumberFormat="1" applyFont="1" applyBorder="1" applyAlignment="1">
      <alignment horizontal="justify"/>
    </xf>
    <xf numFmtId="49" fontId="13" fillId="0" borderId="18" xfId="0" applyNumberFormat="1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/>
    </xf>
    <xf numFmtId="0" fontId="9" fillId="0" borderId="1" xfId="0" applyFont="1" applyBorder="1" applyProtection="1">
      <protection locked="0"/>
    </xf>
    <xf numFmtId="164" fontId="9" fillId="0" borderId="1" xfId="0" applyNumberFormat="1" applyFont="1" applyBorder="1" applyAlignment="1">
      <alignment horizontal="right"/>
    </xf>
    <xf numFmtId="49" fontId="8" fillId="0" borderId="9" xfId="0" applyNumberFormat="1" applyFont="1" applyBorder="1" applyAlignment="1">
      <alignment horizontal="left"/>
    </xf>
    <xf numFmtId="0" fontId="9" fillId="0" borderId="2" xfId="0" applyFont="1" applyBorder="1" applyProtection="1">
      <protection locked="0"/>
    </xf>
    <xf numFmtId="0" fontId="9" fillId="0" borderId="10" xfId="0" applyFont="1" applyBorder="1" applyProtection="1">
      <protection locked="0"/>
    </xf>
    <xf numFmtId="0" fontId="8" fillId="0" borderId="9" xfId="0" applyFont="1" applyBorder="1" applyProtection="1">
      <protection locked="0"/>
    </xf>
    <xf numFmtId="0" fontId="8" fillId="0" borderId="2" xfId="0" applyFont="1" applyBorder="1" applyProtection="1">
      <protection locked="0"/>
    </xf>
    <xf numFmtId="0" fontId="8" fillId="5" borderId="37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horizontal="center" vertical="center"/>
    </xf>
    <xf numFmtId="0" fontId="8" fillId="5" borderId="42" xfId="0" applyFont="1" applyFill="1" applyBorder="1" applyAlignment="1">
      <alignment horizontal="center" vertical="center"/>
    </xf>
    <xf numFmtId="0" fontId="9" fillId="0" borderId="5" xfId="0" applyFont="1" applyBorder="1" applyProtection="1">
      <protection locked="0"/>
    </xf>
    <xf numFmtId="0" fontId="9" fillId="0" borderId="0" xfId="0" applyFont="1" applyProtection="1">
      <protection locked="0"/>
    </xf>
    <xf numFmtId="49" fontId="8" fillId="0" borderId="4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9" fillId="0" borderId="2" xfId="0" applyNumberFormat="1" applyFont="1" applyBorder="1" applyProtection="1">
      <protection locked="0"/>
    </xf>
    <xf numFmtId="166" fontId="9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166" fontId="18" fillId="0" borderId="1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/>
    <xf numFmtId="49" fontId="8" fillId="0" borderId="4" xfId="0" applyNumberFormat="1" applyFont="1" applyBorder="1" applyAlignment="1">
      <alignment horizontal="justify"/>
    </xf>
    <xf numFmtId="0" fontId="9" fillId="0" borderId="6" xfId="0" applyFont="1" applyBorder="1" applyAlignment="1">
      <alignment horizontal="justify"/>
    </xf>
    <xf numFmtId="1" fontId="9" fillId="0" borderId="1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1" fontId="9" fillId="0" borderId="46" xfId="0" applyNumberFormat="1" applyFont="1" applyBorder="1" applyAlignment="1">
      <alignment horizontal="right"/>
    </xf>
    <xf numFmtId="1" fontId="9" fillId="0" borderId="45" xfId="0" applyNumberFormat="1" applyFont="1" applyBorder="1" applyAlignment="1">
      <alignment horizontal="right"/>
    </xf>
    <xf numFmtId="0" fontId="9" fillId="0" borderId="12" xfId="0" applyFont="1" applyBorder="1" applyAlignment="1" applyProtection="1">
      <alignment horizontal="left"/>
      <protection locked="0"/>
    </xf>
    <xf numFmtId="49" fontId="9" fillId="0" borderId="13" xfId="0" applyNumberFormat="1" applyFont="1" applyBorder="1" applyAlignment="1">
      <alignment horizontal="left"/>
    </xf>
    <xf numFmtId="0" fontId="9" fillId="0" borderId="20" xfId="0" applyFont="1" applyBorder="1" applyProtection="1">
      <protection locked="0"/>
    </xf>
    <xf numFmtId="0" fontId="9" fillId="0" borderId="12" xfId="0" applyFont="1" applyBorder="1" applyProtection="1">
      <protection locked="0"/>
    </xf>
    <xf numFmtId="0" fontId="45" fillId="0" borderId="1" xfId="0" applyFont="1" applyBorder="1" applyAlignment="1">
      <alignment horizontal="left"/>
    </xf>
    <xf numFmtId="0" fontId="45" fillId="0" borderId="0" xfId="0" applyFont="1" applyAlignment="1">
      <alignment horizontal="center" vertical="center" wrapText="1"/>
    </xf>
    <xf numFmtId="0" fontId="45" fillId="0" borderId="4" xfId="0" applyFont="1" applyBorder="1" applyAlignment="1">
      <alignment horizontal="left"/>
    </xf>
    <xf numFmtId="0" fontId="45" fillId="0" borderId="6" xfId="0" applyFont="1" applyBorder="1" applyAlignment="1">
      <alignment horizontal="left"/>
    </xf>
    <xf numFmtId="0" fontId="45" fillId="0" borderId="4" xfId="0" applyFont="1" applyBorder="1" applyAlignment="1">
      <alignment horizontal="left" wrapText="1"/>
    </xf>
    <xf numFmtId="0" fontId="45" fillId="0" borderId="6" xfId="0" applyFont="1" applyBorder="1" applyAlignment="1">
      <alignment horizontal="left" wrapText="1"/>
    </xf>
    <xf numFmtId="2" fontId="13" fillId="2" borderId="24" xfId="0" applyNumberFormat="1" applyFont="1" applyFill="1" applyBorder="1" applyAlignment="1" applyProtection="1">
      <alignment horizontal="right"/>
      <protection locked="0"/>
    </xf>
    <xf numFmtId="2" fontId="9" fillId="2" borderId="24" xfId="0" applyNumberFormat="1" applyFont="1" applyFill="1" applyBorder="1" applyAlignment="1" applyProtection="1">
      <alignment horizontal="right"/>
      <protection locked="0"/>
    </xf>
    <xf numFmtId="2" fontId="9" fillId="2" borderId="27" xfId="0" applyNumberFormat="1" applyFont="1" applyFill="1" applyBorder="1" applyAlignment="1" applyProtection="1">
      <alignment horizontal="right"/>
      <protection locked="0"/>
    </xf>
    <xf numFmtId="0" fontId="13" fillId="2" borderId="1" xfId="0" applyFont="1" applyFill="1" applyBorder="1" applyProtection="1">
      <protection locked="0"/>
    </xf>
    <xf numFmtId="0" fontId="9" fillId="2" borderId="1" xfId="0" applyFont="1" applyFill="1" applyBorder="1" applyProtection="1"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0" fillId="2" borderId="1" xfId="0" applyFill="1" applyBorder="1" applyAlignment="1" applyProtection="1">
      <alignment horizontal="justify"/>
      <protection locked="0"/>
    </xf>
    <xf numFmtId="2" fontId="13" fillId="2" borderId="1" xfId="0" applyNumberFormat="1" applyFon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0" fontId="13" fillId="2" borderId="26" xfId="0" applyFont="1" applyFill="1" applyBorder="1" applyProtection="1">
      <protection locked="0"/>
    </xf>
    <xf numFmtId="0" fontId="9" fillId="2" borderId="26" xfId="0" applyFont="1" applyFill="1" applyBorder="1" applyProtection="1"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0" fontId="0" fillId="2" borderId="26" xfId="0" applyFill="1" applyBorder="1" applyAlignment="1" applyProtection="1">
      <alignment horizontal="justify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2" fontId="0" fillId="2" borderId="26" xfId="0" applyNumberFormat="1" applyFill="1" applyBorder="1" applyAlignment="1" applyProtection="1">
      <alignment horizontal="right"/>
      <protection locked="0"/>
    </xf>
    <xf numFmtId="0" fontId="14" fillId="2" borderId="30" xfId="0" applyFont="1" applyFill="1" applyBorder="1" applyAlignment="1" applyProtection="1">
      <alignment horizontal="justify" vertical="center"/>
      <protection locked="0"/>
    </xf>
    <xf numFmtId="0" fontId="9" fillId="2" borderId="1" xfId="0" applyFont="1" applyFill="1" applyBorder="1" applyAlignment="1" applyProtection="1">
      <alignment horizontal="justify"/>
      <protection locked="0"/>
    </xf>
    <xf numFmtId="165" fontId="14" fillId="2" borderId="1" xfId="0" applyNumberFormat="1" applyFont="1" applyFill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0" fontId="10" fillId="2" borderId="30" xfId="0" applyFont="1" applyFill="1" applyBorder="1" applyAlignment="1" applyProtection="1">
      <alignment horizontal="justify" vertical="center"/>
      <protection locked="0"/>
    </xf>
    <xf numFmtId="0" fontId="9" fillId="2" borderId="30" xfId="0" applyFont="1" applyFill="1" applyBorder="1" applyAlignment="1" applyProtection="1">
      <alignment horizontal="justify"/>
      <protection locked="0"/>
    </xf>
    <xf numFmtId="0" fontId="9" fillId="2" borderId="25" xfId="0" applyFont="1" applyFill="1" applyBorder="1" applyAlignment="1" applyProtection="1">
      <alignment horizontal="justify"/>
      <protection locked="0"/>
    </xf>
    <xf numFmtId="0" fontId="9" fillId="2" borderId="26" xfId="0" applyFont="1" applyFill="1" applyBorder="1" applyAlignment="1" applyProtection="1">
      <alignment horizontal="justify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0" fontId="14" fillId="2" borderId="50" xfId="0" applyFont="1" applyFill="1" applyBorder="1" applyAlignment="1" applyProtection="1">
      <alignment horizontal="justify" vertical="center"/>
      <protection locked="0"/>
    </xf>
    <xf numFmtId="0" fontId="9" fillId="2" borderId="46" xfId="0" applyFont="1" applyFill="1" applyBorder="1" applyAlignment="1" applyProtection="1">
      <alignment horizontal="justify"/>
      <protection locked="0"/>
    </xf>
    <xf numFmtId="165" fontId="14" fillId="2" borderId="46" xfId="0" applyNumberFormat="1" applyFont="1" applyFill="1" applyBorder="1" applyProtection="1">
      <protection locked="0"/>
    </xf>
    <xf numFmtId="165" fontId="0" fillId="2" borderId="46" xfId="0" applyNumberFormat="1" applyFill="1" applyBorder="1" applyProtection="1">
      <protection locked="0"/>
    </xf>
    <xf numFmtId="2" fontId="13" fillId="2" borderId="47" xfId="0" applyNumberFormat="1" applyFont="1" applyFill="1" applyBorder="1" applyAlignment="1" applyProtection="1">
      <alignment horizontal="right"/>
      <protection locked="0"/>
    </xf>
    <xf numFmtId="2" fontId="9" fillId="2" borderId="59" xfId="0" applyNumberFormat="1" applyFont="1" applyFill="1" applyBorder="1" applyAlignment="1" applyProtection="1">
      <alignment horizontal="right"/>
      <protection locked="0"/>
    </xf>
    <xf numFmtId="2" fontId="9" fillId="2" borderId="68" xfId="0" applyNumberFormat="1" applyFont="1" applyFill="1" applyBorder="1" applyAlignment="1" applyProtection="1">
      <alignment horizontal="right"/>
      <protection locked="0"/>
    </xf>
    <xf numFmtId="0" fontId="8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32" xfId="0" applyFont="1" applyFill="1" applyBorder="1" applyAlignment="1" applyProtection="1">
      <alignment horizontal="center" vertical="center"/>
      <protection locked="0"/>
    </xf>
    <xf numFmtId="0" fontId="8" fillId="2" borderId="21" xfId="0" applyFont="1" applyFill="1" applyBorder="1" applyProtection="1">
      <protection locked="0"/>
    </xf>
    <xf numFmtId="0" fontId="8" fillId="2" borderId="25" xfId="0" applyFont="1" applyFill="1" applyBorder="1" applyProtection="1">
      <protection locked="0"/>
    </xf>
    <xf numFmtId="0" fontId="8" fillId="2" borderId="26" xfId="0" applyFont="1" applyFill="1" applyBorder="1" applyProtection="1">
      <protection locked="0"/>
    </xf>
    <xf numFmtId="0" fontId="10" fillId="2" borderId="21" xfId="0" applyFont="1" applyFill="1" applyBorder="1" applyAlignment="1">
      <alignment horizontal="center" vertical="center" wrapText="1"/>
    </xf>
    <xf numFmtId="165" fontId="10" fillId="2" borderId="21" xfId="0" applyNumberFormat="1" applyFont="1" applyFill="1" applyBorder="1" applyAlignment="1">
      <alignment horizontal="center" vertical="center" wrapText="1"/>
    </xf>
    <xf numFmtId="0" fontId="13" fillId="2" borderId="21" xfId="0" applyFont="1" applyFill="1" applyBorder="1" applyAlignment="1" applyProtection="1">
      <alignment vertical="center"/>
      <protection locked="0"/>
    </xf>
    <xf numFmtId="0" fontId="13" fillId="2" borderId="21" xfId="0" applyFont="1" applyFill="1" applyBorder="1" applyAlignment="1" applyProtection="1">
      <alignment horizontal="justify"/>
      <protection locked="0"/>
    </xf>
    <xf numFmtId="2" fontId="13" fillId="2" borderId="74" xfId="0" applyNumberFormat="1" applyFont="1" applyFill="1" applyBorder="1" applyAlignment="1" applyProtection="1">
      <alignment vertical="center"/>
      <protection locked="0"/>
    </xf>
    <xf numFmtId="0" fontId="0" fillId="2" borderId="68" xfId="0" applyFill="1" applyBorder="1" applyProtection="1">
      <protection locked="0"/>
    </xf>
    <xf numFmtId="0" fontId="14" fillId="2" borderId="30" xfId="2" applyFont="1" applyFill="1" applyBorder="1" applyAlignment="1">
      <alignment horizontal="justify" wrapText="1"/>
    </xf>
    <xf numFmtId="0" fontId="9" fillId="2" borderId="1" xfId="0" applyFont="1" applyFill="1" applyBorder="1" applyAlignment="1" applyProtection="1">
      <alignment horizontal="justify" wrapText="1"/>
      <protection locked="0"/>
    </xf>
    <xf numFmtId="0" fontId="8" fillId="2" borderId="57" xfId="0" applyFont="1" applyFill="1" applyBorder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15" xfId="0" applyFont="1" applyFill="1" applyBorder="1" applyProtection="1">
      <protection locked="0"/>
    </xf>
    <xf numFmtId="0" fontId="13" fillId="2" borderId="13" xfId="0" applyFont="1" applyFill="1" applyBorder="1" applyAlignment="1" applyProtection="1">
      <alignment vertical="center"/>
      <protection locked="0"/>
    </xf>
    <xf numFmtId="0" fontId="13" fillId="2" borderId="12" xfId="0" applyFont="1" applyFill="1" applyBorder="1" applyAlignment="1" applyProtection="1">
      <alignment vertical="center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9" fillId="2" borderId="59" xfId="0" applyFont="1" applyFill="1" applyBorder="1" applyProtection="1">
      <protection locked="0"/>
    </xf>
    <xf numFmtId="0" fontId="14" fillId="2" borderId="23" xfId="0" applyFont="1" applyFill="1" applyBorder="1" applyAlignment="1">
      <alignment horizontal="left" wrapText="1"/>
    </xf>
    <xf numFmtId="0" fontId="14" fillId="2" borderId="6" xfId="0" applyFont="1" applyFill="1" applyBorder="1" applyAlignment="1" applyProtection="1">
      <alignment horizontal="left" wrapText="1"/>
      <protection locked="0"/>
    </xf>
    <xf numFmtId="0" fontId="13" fillId="2" borderId="57" xfId="0" applyFont="1" applyFill="1" applyBorder="1" applyAlignment="1" applyProtection="1">
      <alignment horizontal="center" vertical="center"/>
      <protection locked="0"/>
    </xf>
    <xf numFmtId="0" fontId="9" fillId="2" borderId="71" xfId="0" applyFont="1" applyFill="1" applyBorder="1" applyAlignment="1" applyProtection="1">
      <alignment horizontal="center" vertical="center"/>
      <protection locked="0"/>
    </xf>
    <xf numFmtId="0" fontId="9" fillId="2" borderId="58" xfId="0" applyFont="1" applyFill="1" applyBorder="1" applyAlignment="1" applyProtection="1">
      <alignment horizontal="center" vertical="center"/>
      <protection locked="0"/>
    </xf>
    <xf numFmtId="2" fontId="13" fillId="2" borderId="47" xfId="0" applyNumberFormat="1" applyFont="1" applyFill="1" applyBorder="1" applyProtection="1">
      <protection locked="0"/>
    </xf>
    <xf numFmtId="0" fontId="9" fillId="2" borderId="68" xfId="0" applyFont="1" applyFill="1" applyBorder="1" applyProtection="1">
      <protection locked="0"/>
    </xf>
    <xf numFmtId="0" fontId="10" fillId="2" borderId="43" xfId="0" applyFont="1" applyFill="1" applyBorder="1" applyAlignment="1" applyProtection="1">
      <alignment horizontal="justify" vertical="center"/>
      <protection locked="0"/>
    </xf>
    <xf numFmtId="0" fontId="10" fillId="2" borderId="43" xfId="0" applyFont="1" applyFill="1" applyBorder="1" applyAlignment="1" applyProtection="1">
      <alignment horizontal="justify"/>
      <protection locked="0"/>
    </xf>
    <xf numFmtId="0" fontId="14" fillId="2" borderId="30" xfId="0" applyFont="1" applyFill="1" applyBorder="1" applyAlignment="1">
      <alignment horizontal="justify" wrapText="1"/>
    </xf>
    <xf numFmtId="0" fontId="14" fillId="2" borderId="1" xfId="0" applyFont="1" applyFill="1" applyBorder="1" applyAlignment="1" applyProtection="1">
      <alignment horizontal="justify" wrapText="1"/>
      <protection locked="0"/>
    </xf>
    <xf numFmtId="0" fontId="14" fillId="2" borderId="30" xfId="0" applyFont="1" applyFill="1" applyBorder="1" applyAlignment="1">
      <alignment horizontal="left" wrapText="1"/>
    </xf>
    <xf numFmtId="0" fontId="14" fillId="2" borderId="1" xfId="0" applyFont="1" applyFill="1" applyBorder="1" applyAlignment="1" applyProtection="1">
      <alignment horizontal="left" wrapText="1"/>
      <protection locked="0"/>
    </xf>
    <xf numFmtId="0" fontId="14" fillId="2" borderId="57" xfId="0" applyFont="1" applyFill="1" applyBorder="1" applyAlignment="1">
      <alignment horizontal="left" wrapText="1"/>
    </xf>
    <xf numFmtId="0" fontId="14" fillId="2" borderId="1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Alignment="1" applyProtection="1">
      <alignment horizontal="left" wrapText="1"/>
      <protection locked="0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13" fillId="2" borderId="23" xfId="0" applyFont="1" applyFill="1" applyBorder="1" applyAlignment="1">
      <alignment horizontal="left" wrapText="1"/>
    </xf>
    <xf numFmtId="0" fontId="8" fillId="2" borderId="6" xfId="0" applyFont="1" applyFill="1" applyBorder="1" applyAlignment="1" applyProtection="1">
      <alignment horizontal="left" wrapText="1"/>
      <protection locked="0"/>
    </xf>
    <xf numFmtId="0" fontId="8" fillId="2" borderId="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Protection="1">
      <protection locked="0"/>
    </xf>
    <xf numFmtId="0" fontId="14" fillId="2" borderId="32" xfId="0" applyFont="1" applyFill="1" applyBorder="1" applyAlignment="1">
      <alignment horizontal="left" wrapText="1"/>
    </xf>
    <xf numFmtId="0" fontId="14" fillId="2" borderId="21" xfId="0" applyFont="1" applyFill="1" applyBorder="1" applyAlignment="1" applyProtection="1">
      <alignment horizontal="left" wrapText="1"/>
      <protection locked="0"/>
    </xf>
    <xf numFmtId="0" fontId="11" fillId="2" borderId="23" xfId="0" applyFont="1" applyFill="1" applyBorder="1" applyAlignment="1" applyProtection="1">
      <alignment horizontal="justify"/>
      <protection locked="0"/>
    </xf>
    <xf numFmtId="0" fontId="11" fillId="2" borderId="6" xfId="0" applyFont="1" applyFill="1" applyBorder="1" applyAlignment="1" applyProtection="1">
      <alignment horizontal="justify"/>
      <protection locked="0"/>
    </xf>
    <xf numFmtId="0" fontId="8" fillId="0" borderId="1" xfId="0" applyFont="1" applyBorder="1" applyAlignment="1" applyProtection="1">
      <alignment horizontal="center"/>
      <protection locked="0"/>
    </xf>
    <xf numFmtId="0" fontId="8" fillId="2" borderId="38" xfId="0" applyFont="1" applyFill="1" applyBorder="1" applyAlignment="1" applyProtection="1">
      <alignment horizontal="justify" vertical="center"/>
      <protection locked="0"/>
    </xf>
    <xf numFmtId="0" fontId="9" fillId="2" borderId="38" xfId="0" applyFont="1" applyFill="1" applyBorder="1" applyAlignment="1" applyProtection="1">
      <alignment horizontal="justify"/>
      <protection locked="0"/>
    </xf>
    <xf numFmtId="0" fontId="13" fillId="2" borderId="13" xfId="0" applyFont="1" applyFill="1" applyBorder="1" applyAlignment="1" applyProtection="1">
      <alignment horizontal="justify"/>
      <protection locked="0"/>
    </xf>
    <xf numFmtId="0" fontId="13" fillId="2" borderId="12" xfId="0" applyFont="1" applyFill="1" applyBorder="1" applyAlignment="1" applyProtection="1">
      <alignment horizontal="justify"/>
      <protection locked="0"/>
    </xf>
    <xf numFmtId="0" fontId="8" fillId="0" borderId="1" xfId="0" applyFont="1" applyBorder="1" applyAlignment="1" applyProtection="1">
      <alignment horizontal="justify" vertical="center"/>
      <protection locked="0"/>
    </xf>
    <xf numFmtId="0" fontId="9" fillId="0" borderId="4" xfId="0" applyFont="1" applyBorder="1" applyProtection="1">
      <protection locked="0"/>
    </xf>
    <xf numFmtId="0" fontId="13" fillId="0" borderId="40" xfId="0" applyFont="1" applyBorder="1" applyAlignment="1" applyProtection="1">
      <alignment horizontal="right"/>
      <protection locked="0"/>
    </xf>
    <xf numFmtId="0" fontId="13" fillId="0" borderId="41" xfId="0" applyFont="1" applyBorder="1" applyAlignment="1" applyProtection="1">
      <alignment horizontal="right"/>
      <protection locked="0"/>
    </xf>
    <xf numFmtId="0" fontId="13" fillId="0" borderId="64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0" borderId="15" xfId="0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14" fillId="0" borderId="59" xfId="0" applyFont="1" applyBorder="1" applyProtection="1">
      <protection locked="0"/>
    </xf>
    <xf numFmtId="0" fontId="14" fillId="0" borderId="45" xfId="0" applyFont="1" applyBorder="1" applyProtection="1">
      <protection locked="0"/>
    </xf>
    <xf numFmtId="0" fontId="13" fillId="0" borderId="4" xfId="0" applyFont="1" applyBorder="1" applyAlignment="1" applyProtection="1">
      <alignment horizontal="right"/>
      <protection locked="0"/>
    </xf>
    <xf numFmtId="0" fontId="13" fillId="0" borderId="6" xfId="0" applyFont="1" applyBorder="1" applyAlignment="1" applyProtection="1">
      <alignment horizontal="right"/>
      <protection locked="0"/>
    </xf>
    <xf numFmtId="0" fontId="13" fillId="0" borderId="23" xfId="0" applyFont="1" applyBorder="1" applyAlignment="1" applyProtection="1">
      <alignment horizontal="justify" vertical="center"/>
      <protection locked="0"/>
    </xf>
    <xf numFmtId="0" fontId="9" fillId="0" borderId="6" xfId="0" applyFont="1" applyBorder="1" applyAlignment="1" applyProtection="1">
      <alignment horizontal="justify"/>
      <protection locked="0"/>
    </xf>
    <xf numFmtId="0" fontId="13" fillId="0" borderId="70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0" fillId="0" borderId="72" xfId="0" applyFont="1" applyBorder="1" applyAlignment="1" applyProtection="1">
      <alignment horizontal="justify" vertical="center"/>
      <protection locked="0"/>
    </xf>
    <xf numFmtId="0" fontId="8" fillId="0" borderId="46" xfId="0" applyFont="1" applyBorder="1" applyAlignment="1" applyProtection="1">
      <alignment horizontal="justify" vertical="center"/>
      <protection locked="0"/>
    </xf>
    <xf numFmtId="0" fontId="13" fillId="0" borderId="13" xfId="0" applyFont="1" applyBorder="1" applyAlignment="1" applyProtection="1">
      <alignment horizontal="justify" vertical="center"/>
      <protection locked="0"/>
    </xf>
    <xf numFmtId="0" fontId="9" fillId="0" borderId="12" xfId="0" applyFont="1" applyBorder="1" applyAlignment="1" applyProtection="1">
      <alignment horizontal="justify" vertical="center"/>
      <protection locked="0"/>
    </xf>
    <xf numFmtId="0" fontId="10" fillId="0" borderId="72" xfId="0" applyFont="1" applyBorder="1" applyAlignment="1" applyProtection="1">
      <alignment horizontal="center" vertical="center" wrapText="1"/>
      <protection locked="0"/>
    </xf>
    <xf numFmtId="0" fontId="11" fillId="0" borderId="69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justify"/>
      <protection locked="0"/>
    </xf>
    <xf numFmtId="0" fontId="9" fillId="0" borderId="14" xfId="0" applyFont="1" applyBorder="1" applyProtection="1">
      <protection locked="0"/>
    </xf>
    <xf numFmtId="0" fontId="9" fillId="0" borderId="6" xfId="0" applyFont="1" applyBorder="1" applyProtection="1">
      <protection locked="0"/>
    </xf>
    <xf numFmtId="0" fontId="14" fillId="0" borderId="30" xfId="0" applyFont="1" applyBorder="1" applyAlignment="1" applyProtection="1">
      <alignment horizontal="justify" vertical="center"/>
      <protection locked="0"/>
    </xf>
    <xf numFmtId="0" fontId="9" fillId="0" borderId="1" xfId="0" applyFont="1" applyBorder="1" applyAlignment="1" applyProtection="1">
      <alignment horizontal="justify"/>
      <protection locked="0"/>
    </xf>
    <xf numFmtId="0" fontId="8" fillId="0" borderId="28" xfId="0" applyFont="1" applyBorder="1" applyAlignment="1" applyProtection="1">
      <alignment horizontal="justify" vertical="center"/>
      <protection locked="0"/>
    </xf>
    <xf numFmtId="0" fontId="8" fillId="0" borderId="8" xfId="0" applyFont="1" applyBorder="1" applyAlignment="1" applyProtection="1">
      <alignment horizontal="justify"/>
      <protection locked="0"/>
    </xf>
    <xf numFmtId="0" fontId="9" fillId="0" borderId="35" xfId="0" applyFont="1" applyBorder="1" applyAlignment="1" applyProtection="1">
      <alignment horizontal="justify"/>
      <protection locked="0"/>
    </xf>
    <xf numFmtId="0" fontId="9" fillId="0" borderId="60" xfId="0" applyFont="1" applyBorder="1" applyAlignment="1" applyProtection="1">
      <alignment horizontal="justify"/>
      <protection locked="0"/>
    </xf>
    <xf numFmtId="0" fontId="9" fillId="0" borderId="29" xfId="0" applyFont="1" applyBorder="1" applyAlignment="1" applyProtection="1">
      <alignment horizontal="justify"/>
      <protection locked="0"/>
    </xf>
    <xf numFmtId="0" fontId="9" fillId="0" borderId="10" xfId="0" applyFont="1" applyBorder="1" applyAlignment="1" applyProtection="1">
      <alignment horizontal="justify"/>
      <protection locked="0"/>
    </xf>
    <xf numFmtId="2" fontId="13" fillId="0" borderId="4" xfId="0" applyNumberFormat="1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right"/>
      <protection locked="0"/>
    </xf>
    <xf numFmtId="0" fontId="13" fillId="0" borderId="26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38" xfId="0" applyFont="1" applyBorder="1" applyAlignment="1" applyProtection="1">
      <alignment horizontal="justify" vertical="center"/>
      <protection locked="0"/>
    </xf>
    <xf numFmtId="0" fontId="9" fillId="0" borderId="38" xfId="0" applyFont="1" applyBorder="1" applyAlignment="1" applyProtection="1">
      <alignment horizontal="justify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Protection="1">
      <protection locked="0"/>
    </xf>
    <xf numFmtId="0" fontId="8" fillId="0" borderId="57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10" fillId="0" borderId="21" xfId="0" applyFont="1" applyBorder="1" applyAlignment="1">
      <alignment horizontal="center" vertical="center" wrapText="1"/>
    </xf>
    <xf numFmtId="0" fontId="9" fillId="0" borderId="15" xfId="0" applyFont="1" applyBorder="1" applyProtection="1">
      <protection locked="0"/>
    </xf>
    <xf numFmtId="165" fontId="10" fillId="0" borderId="21" xfId="0" applyNumberFormat="1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vertical="center"/>
      <protection locked="0"/>
    </xf>
    <xf numFmtId="0" fontId="13" fillId="0" borderId="12" xfId="0" applyFont="1" applyBorder="1" applyAlignment="1" applyProtection="1">
      <alignment vertical="center"/>
      <protection locked="0"/>
    </xf>
    <xf numFmtId="0" fontId="13" fillId="0" borderId="13" xfId="0" applyFont="1" applyBorder="1" applyAlignment="1" applyProtection="1">
      <alignment horizontal="center" vertical="justify"/>
      <protection locked="0"/>
    </xf>
    <xf numFmtId="0" fontId="13" fillId="0" borderId="12" xfId="0" applyFont="1" applyBorder="1" applyAlignment="1" applyProtection="1">
      <alignment horizontal="center" vertical="justify"/>
      <protection locked="0"/>
    </xf>
    <xf numFmtId="0" fontId="13" fillId="0" borderId="71" xfId="0" applyFont="1" applyBorder="1" applyAlignment="1" applyProtection="1">
      <alignment horizontal="center" vertical="center"/>
      <protection locked="0"/>
    </xf>
    <xf numFmtId="0" fontId="13" fillId="0" borderId="58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wrapText="1"/>
      <protection locked="0"/>
    </xf>
    <xf numFmtId="0" fontId="14" fillId="0" borderId="6" xfId="0" applyFont="1" applyBorder="1" applyAlignment="1" applyProtection="1">
      <alignment horizontal="left" wrapText="1"/>
      <protection locked="0"/>
    </xf>
    <xf numFmtId="0" fontId="13" fillId="0" borderId="66" xfId="0" applyFont="1" applyBorder="1" applyAlignment="1" applyProtection="1">
      <alignment horizontal="justify" vertical="center"/>
      <protection locked="0"/>
    </xf>
    <xf numFmtId="0" fontId="14" fillId="0" borderId="23" xfId="0" applyFont="1" applyBorder="1" applyAlignment="1" applyProtection="1">
      <alignment horizontal="justify"/>
      <protection locked="0"/>
    </xf>
    <xf numFmtId="0" fontId="14" fillId="0" borderId="6" xfId="0" applyFont="1" applyBorder="1" applyAlignment="1" applyProtection="1">
      <alignment horizontal="justify"/>
      <protection locked="0"/>
    </xf>
    <xf numFmtId="0" fontId="14" fillId="0" borderId="16" xfId="0" applyFont="1" applyBorder="1" applyAlignment="1" applyProtection="1">
      <alignment horizontal="justify"/>
      <protection locked="0"/>
    </xf>
    <xf numFmtId="0" fontId="14" fillId="0" borderId="17" xfId="0" applyFont="1" applyBorder="1" applyAlignment="1" applyProtection="1">
      <alignment horizontal="justify"/>
      <protection locked="0"/>
    </xf>
    <xf numFmtId="0" fontId="13" fillId="0" borderId="49" xfId="0" applyFont="1" applyBorder="1" applyAlignment="1" applyProtection="1">
      <alignment horizontal="left" wrapText="1"/>
      <protection locked="0"/>
    </xf>
    <xf numFmtId="0" fontId="14" fillId="0" borderId="43" xfId="0" applyFont="1" applyBorder="1" applyProtection="1">
      <protection locked="0"/>
    </xf>
    <xf numFmtId="0" fontId="14" fillId="0" borderId="44" xfId="0" applyFont="1" applyBorder="1" applyProtection="1">
      <protection locked="0"/>
    </xf>
    <xf numFmtId="0" fontId="14" fillId="0" borderId="23" xfId="0" applyFont="1" applyBorder="1" applyAlignment="1" applyProtection="1">
      <alignment horizontal="left" wrapText="1"/>
      <protection locked="0"/>
    </xf>
    <xf numFmtId="0" fontId="14" fillId="0" borderId="23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28" xfId="0" applyFont="1" applyBorder="1" applyAlignment="1" applyProtection="1">
      <alignment horizontal="left" wrapText="1"/>
      <protection locked="0"/>
    </xf>
    <xf numFmtId="0" fontId="14" fillId="0" borderId="8" xfId="0" applyFont="1" applyBorder="1" applyAlignment="1" applyProtection="1">
      <alignment horizontal="left" wrapText="1"/>
      <protection locked="0"/>
    </xf>
    <xf numFmtId="0" fontId="13" fillId="0" borderId="67" xfId="0" applyFont="1" applyBorder="1" applyAlignment="1" applyProtection="1">
      <alignment horizontal="justify" vertical="center" wrapText="1"/>
      <protection locked="0"/>
    </xf>
    <xf numFmtId="0" fontId="13" fillId="0" borderId="66" xfId="0" applyFont="1" applyBorder="1" applyAlignment="1" applyProtection="1">
      <alignment horizontal="justify" vertical="center" wrapText="1"/>
      <protection locked="0"/>
    </xf>
    <xf numFmtId="0" fontId="14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wrapText="1"/>
      <protection locked="0"/>
    </xf>
    <xf numFmtId="0" fontId="14" fillId="0" borderId="12" xfId="0" applyFont="1" applyBorder="1" applyAlignment="1" applyProtection="1">
      <alignment horizontal="left" wrapText="1"/>
      <protection locked="0"/>
    </xf>
    <xf numFmtId="0" fontId="13" fillId="0" borderId="40" xfId="0" applyFont="1" applyBorder="1" applyAlignment="1" applyProtection="1">
      <alignment horizontal="left" wrapText="1"/>
      <protection locked="0"/>
    </xf>
    <xf numFmtId="0" fontId="14" fillId="0" borderId="41" xfId="0" applyFont="1" applyBorder="1" applyProtection="1">
      <protection locked="0"/>
    </xf>
    <xf numFmtId="0" fontId="14" fillId="0" borderId="42" xfId="0" applyFont="1" applyBorder="1" applyProtection="1"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13" fillId="0" borderId="49" xfId="0" applyFont="1" applyBorder="1" applyAlignment="1" applyProtection="1">
      <alignment horizontal="justify" vertical="center" wrapText="1"/>
      <protection locked="0"/>
    </xf>
    <xf numFmtId="0" fontId="13" fillId="0" borderId="35" xfId="0" applyFont="1" applyBorder="1" applyAlignment="1" applyProtection="1">
      <alignment horizontal="justify" vertical="center" wrapText="1"/>
      <protection locked="0"/>
    </xf>
    <xf numFmtId="0" fontId="13" fillId="0" borderId="37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12" xfId="0" applyFont="1" applyBorder="1" applyAlignment="1" applyProtection="1">
      <alignment horizontal="left" vertical="center" wrapText="1"/>
      <protection locked="0"/>
    </xf>
    <xf numFmtId="0" fontId="14" fillId="0" borderId="23" xfId="0" applyFont="1" applyBorder="1" applyAlignment="1" applyProtection="1">
      <alignment horizontal="justify" vertical="center" wrapText="1"/>
      <protection locked="0"/>
    </xf>
    <xf numFmtId="0" fontId="14" fillId="0" borderId="6" xfId="0" applyFont="1" applyBorder="1" applyAlignment="1" applyProtection="1">
      <alignment horizontal="justify" vertical="center" wrapText="1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justify" vertical="center" wrapText="1"/>
      <protection locked="0"/>
    </xf>
    <xf numFmtId="0" fontId="14" fillId="0" borderId="41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0" fontId="13" fillId="0" borderId="53" xfId="0" applyFont="1" applyBorder="1" applyAlignment="1" applyProtection="1">
      <alignment horizontal="justify" vertical="center" wrapText="1"/>
      <protection locked="0"/>
    </xf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36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37" fillId="0" borderId="11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wrapText="1"/>
      <protection locked="0"/>
    </xf>
    <xf numFmtId="0" fontId="14" fillId="0" borderId="14" xfId="0" applyFont="1" applyBorder="1" applyAlignment="1" applyProtection="1">
      <alignment horizontal="center" wrapText="1"/>
      <protection locked="0"/>
    </xf>
    <xf numFmtId="0" fontId="13" fillId="0" borderId="11" xfId="0" applyFont="1" applyBorder="1" applyAlignment="1" applyProtection="1">
      <alignment horizontal="center" wrapText="1"/>
      <protection locked="0"/>
    </xf>
    <xf numFmtId="0" fontId="13" fillId="0" borderId="14" xfId="0" applyFont="1" applyBorder="1" applyAlignment="1" applyProtection="1">
      <alignment horizontal="center" wrapText="1"/>
      <protection locked="0"/>
    </xf>
    <xf numFmtId="0" fontId="13" fillId="0" borderId="58" xfId="0" applyFont="1" applyBorder="1" applyAlignment="1" applyProtection="1">
      <alignment horizontal="left" vertical="center" wrapText="1"/>
      <protection locked="0"/>
    </xf>
    <xf numFmtId="0" fontId="14" fillId="0" borderId="61" xfId="0" applyFont="1" applyBorder="1" applyAlignment="1" applyProtection="1">
      <alignment vertical="center" wrapText="1"/>
      <protection locked="0"/>
    </xf>
    <xf numFmtId="0" fontId="14" fillId="0" borderId="62" xfId="0" applyFont="1" applyBorder="1" applyAlignment="1" applyProtection="1">
      <alignment vertical="center" wrapText="1"/>
      <protection locked="0"/>
    </xf>
    <xf numFmtId="0" fontId="13" fillId="0" borderId="43" xfId="0" applyFont="1" applyBorder="1" applyAlignment="1" applyProtection="1">
      <alignment horizontal="left" wrapText="1"/>
      <protection locked="0"/>
    </xf>
    <xf numFmtId="0" fontId="14" fillId="0" borderId="43" xfId="0" applyFont="1" applyBorder="1" applyAlignment="1" applyProtection="1">
      <alignment wrapText="1"/>
      <protection locked="0"/>
    </xf>
    <xf numFmtId="0" fontId="13" fillId="0" borderId="35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24" fillId="0" borderId="4" xfId="1" applyBorder="1" applyAlignment="1">
      <alignment horizontal="justify"/>
    </xf>
    <xf numFmtId="0" fontId="24" fillId="0" borderId="5" xfId="1" applyBorder="1" applyAlignment="1">
      <alignment horizontal="justify"/>
    </xf>
    <xf numFmtId="0" fontId="24" fillId="0" borderId="6" xfId="1" applyBorder="1" applyAlignment="1">
      <alignment horizontal="justify"/>
    </xf>
    <xf numFmtId="2" fontId="24" fillId="0" borderId="4" xfId="1" applyNumberFormat="1" applyBorder="1"/>
    <xf numFmtId="2" fontId="24" fillId="0" borderId="6" xfId="1" applyNumberFormat="1" applyBorder="1"/>
    <xf numFmtId="0" fontId="24" fillId="0" borderId="1" xfId="1" applyBorder="1" applyAlignment="1">
      <alignment horizontal="justify"/>
    </xf>
    <xf numFmtId="2" fontId="24" fillId="0" borderId="1" xfId="1" applyNumberFormat="1" applyBorder="1"/>
    <xf numFmtId="2" fontId="0" fillId="0" borderId="1" xfId="0" applyNumberFormat="1" applyBorder="1" applyProtection="1">
      <protection locked="0"/>
    </xf>
    <xf numFmtId="49" fontId="12" fillId="0" borderId="0" xfId="0" applyNumberFormat="1" applyFont="1" applyProtection="1">
      <protection locked="0"/>
    </xf>
    <xf numFmtId="0" fontId="26" fillId="0" borderId="0" xfId="1" applyFont="1" applyAlignment="1">
      <alignment horizontal="justify" wrapText="1"/>
    </xf>
    <xf numFmtId="0" fontId="0" fillId="0" borderId="0" xfId="0" applyAlignment="1" applyProtection="1">
      <alignment horizontal="justify"/>
      <protection locked="0"/>
    </xf>
    <xf numFmtId="0" fontId="28" fillId="0" borderId="4" xfId="1" applyFont="1" applyBorder="1" applyAlignment="1">
      <alignment horizontal="justify" vertical="center"/>
    </xf>
    <xf numFmtId="0" fontId="28" fillId="0" borderId="5" xfId="1" applyFont="1" applyBorder="1" applyAlignment="1">
      <alignment horizontal="justify" vertical="center"/>
    </xf>
    <xf numFmtId="0" fontId="28" fillId="0" borderId="6" xfId="1" applyFont="1" applyBorder="1" applyAlignment="1">
      <alignment horizontal="justify"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1" fillId="0" borderId="4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wrapText="1"/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0" fontId="21" fillId="0" borderId="1" xfId="0" applyFont="1" applyBorder="1" applyAlignment="1" applyProtection="1">
      <alignment horizontal="left" wrapText="1"/>
      <protection locked="0"/>
    </xf>
    <xf numFmtId="0" fontId="21" fillId="0" borderId="1" xfId="0" applyFont="1" applyBorder="1" applyProtection="1">
      <protection locked="0"/>
    </xf>
    <xf numFmtId="49" fontId="20" fillId="0" borderId="0" xfId="0" applyNumberFormat="1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22" fillId="0" borderId="2" xfId="0" applyFont="1" applyBorder="1" applyAlignment="1" applyProtection="1">
      <alignment vertical="justify"/>
      <protection locked="0"/>
    </xf>
    <xf numFmtId="0" fontId="21" fillId="3" borderId="1" xfId="0" applyFont="1" applyFill="1" applyBorder="1" applyAlignment="1" applyProtection="1">
      <alignment horizontal="left" wrapText="1"/>
      <protection locked="0"/>
    </xf>
    <xf numFmtId="0" fontId="21" fillId="3" borderId="1" xfId="0" applyFont="1" applyFill="1" applyBorder="1" applyProtection="1">
      <protection locked="0"/>
    </xf>
    <xf numFmtId="0" fontId="34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0" fillId="0" borderId="0" xfId="0" applyFont="1" applyAlignment="1" applyProtection="1">
      <alignment horizontal="justify"/>
      <protection locked="0"/>
    </xf>
    <xf numFmtId="0" fontId="29" fillId="0" borderId="1" xfId="0" applyFont="1" applyBorder="1" applyAlignment="1">
      <alignment horizontal="center" vertical="center" wrapText="1"/>
    </xf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 wrapText="1"/>
    </xf>
    <xf numFmtId="165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0" fontId="29" fillId="6" borderId="1" xfId="0" applyFont="1" applyFill="1" applyBorder="1" applyAlignment="1">
      <alignment horizontal="left" vertical="center" wrapText="1"/>
    </xf>
    <xf numFmtId="2" fontId="29" fillId="0" borderId="1" xfId="0" applyNumberFormat="1" applyFont="1" applyBorder="1" applyAlignment="1">
      <alignment horizontal="right"/>
    </xf>
    <xf numFmtId="2" fontId="0" fillId="0" borderId="1" xfId="0" applyNumberFormat="1" applyBorder="1" applyAlignment="1" applyProtection="1">
      <alignment horizontal="right"/>
      <protection locked="0"/>
    </xf>
    <xf numFmtId="0" fontId="30" fillId="0" borderId="2" xfId="0" applyFont="1" applyBorder="1" applyAlignment="1">
      <alignment horizontal="left" vertical="center" wrapText="1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2" fontId="29" fillId="0" borderId="4" xfId="0" applyNumberFormat="1" applyFont="1" applyBorder="1" applyAlignment="1">
      <alignment horizontal="right"/>
    </xf>
    <xf numFmtId="2" fontId="0" fillId="0" borderId="6" xfId="0" applyNumberFormat="1" applyBorder="1" applyAlignment="1" applyProtection="1">
      <alignment horizontal="right"/>
      <protection locked="0"/>
    </xf>
    <xf numFmtId="0" fontId="19" fillId="0" borderId="4" xfId="0" applyFont="1" applyBorder="1" applyAlignment="1">
      <alignment horizontal="center" wrapText="1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>
      <alignment horizontal="left" wrapText="1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30" fillId="0" borderId="4" xfId="0" applyFont="1" applyBorder="1" applyAlignment="1" applyProtection="1">
      <alignment horizontal="left"/>
      <protection locked="0"/>
    </xf>
    <xf numFmtId="0" fontId="29" fillId="0" borderId="2" xfId="0" applyFont="1" applyBorder="1" applyAlignment="1">
      <alignment horizontal="left" vertical="center" wrapText="1"/>
    </xf>
    <xf numFmtId="0" fontId="29" fillId="6" borderId="4" xfId="0" applyFont="1" applyFill="1" applyBorder="1" applyAlignment="1">
      <alignment horizontal="left" vertical="center" wrapText="1"/>
    </xf>
    <xf numFmtId="0" fontId="0" fillId="0" borderId="6" xfId="0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/>
      <protection locked="0"/>
    </xf>
    <xf numFmtId="2" fontId="29" fillId="0" borderId="6" xfId="0" applyNumberFormat="1" applyFont="1" applyBorder="1" applyAlignment="1" applyProtection="1">
      <alignment horizontal="right"/>
      <protection locked="0"/>
    </xf>
    <xf numFmtId="0" fontId="30" fillId="6" borderId="1" xfId="0" applyFont="1" applyFill="1" applyBorder="1" applyAlignment="1">
      <alignment horizontal="left" wrapText="1"/>
    </xf>
    <xf numFmtId="0" fontId="29" fillId="0" borderId="4" xfId="0" applyFont="1" applyBorder="1" applyAlignment="1" applyProtection="1">
      <alignment horizontal="center" vertical="center" wrapText="1"/>
      <protection locked="0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left" wrapText="1"/>
    </xf>
    <xf numFmtId="0" fontId="29" fillId="0" borderId="6" xfId="0" applyFont="1" applyBorder="1" applyAlignment="1">
      <alignment horizontal="left" wrapText="1"/>
    </xf>
    <xf numFmtId="2" fontId="29" fillId="0" borderId="4" xfId="0" applyNumberFormat="1" applyFont="1" applyBorder="1" applyProtection="1">
      <protection locked="0"/>
    </xf>
    <xf numFmtId="2" fontId="29" fillId="0" borderId="6" xfId="0" applyNumberFormat="1" applyFont="1" applyBorder="1" applyProtection="1">
      <protection locked="0"/>
    </xf>
    <xf numFmtId="0" fontId="29" fillId="6" borderId="4" xfId="0" applyFont="1" applyFill="1" applyBorder="1" applyAlignment="1">
      <alignment horizontal="left" wrapText="1"/>
    </xf>
    <xf numFmtId="0" fontId="21" fillId="0" borderId="6" xfId="0" applyFont="1" applyBorder="1" applyAlignment="1" applyProtection="1">
      <alignment horizontal="right"/>
      <protection locked="0"/>
    </xf>
    <xf numFmtId="0" fontId="29" fillId="0" borderId="4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 vertical="center"/>
      <protection locked="0"/>
    </xf>
    <xf numFmtId="2" fontId="2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>
      <alignment horizontal="justify" vertical="center" wrapText="1"/>
    </xf>
    <xf numFmtId="0" fontId="0" fillId="0" borderId="0" xfId="0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left" wrapText="1"/>
    </xf>
    <xf numFmtId="0" fontId="12" fillId="0" borderId="5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 applyProtection="1">
      <alignment horizontal="justify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justify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165" fontId="32" fillId="0" borderId="4" xfId="0" applyNumberFormat="1" applyFont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Protection="1">
      <protection locked="0"/>
    </xf>
    <xf numFmtId="2" fontId="19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vertical="center"/>
      <protection locked="0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Protection="1">
      <protection locked="0"/>
    </xf>
    <xf numFmtId="165" fontId="19" fillId="0" borderId="4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 applyProtection="1">
      <alignment horizontal="right" vertical="center"/>
      <protection locked="0"/>
    </xf>
    <xf numFmtId="165" fontId="1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justify"/>
      <protection locked="0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 applyProtection="1">
      <alignment wrapText="1"/>
      <protection locked="0"/>
    </xf>
    <xf numFmtId="2" fontId="21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horizontal="right" vertical="center"/>
      <protection locked="0"/>
    </xf>
    <xf numFmtId="2" fontId="21" fillId="0" borderId="4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vertical="center" wrapText="1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vertical="center" wrapText="1"/>
      <protection locked="0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/>
      <protection locked="0"/>
    </xf>
    <xf numFmtId="0" fontId="21" fillId="0" borderId="0" xfId="0" applyFont="1" applyAlignment="1">
      <alignment horizontal="right"/>
    </xf>
    <xf numFmtId="49" fontId="21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justify" vertical="center"/>
    </xf>
    <xf numFmtId="49" fontId="21" fillId="0" borderId="0" xfId="0" applyNumberFormat="1" applyFont="1" applyAlignment="1">
      <alignment horizontal="right"/>
    </xf>
    <xf numFmtId="0" fontId="29" fillId="6" borderId="1" xfId="0" applyFont="1" applyFill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19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19" fillId="0" borderId="4" xfId="0" applyFont="1" applyBorder="1" applyAlignment="1">
      <alignment horizontal="left" vertical="center" wrapText="1"/>
    </xf>
    <xf numFmtId="0" fontId="0" fillId="0" borderId="6" xfId="0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horizontal="right" vertical="center"/>
      <protection locked="0"/>
    </xf>
    <xf numFmtId="164" fontId="21" fillId="0" borderId="4" xfId="0" applyNumberFormat="1" applyFont="1" applyBorder="1" applyAlignment="1">
      <alignment horizontal="right" vertical="center"/>
    </xf>
    <xf numFmtId="0" fontId="21" fillId="0" borderId="4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 applyProtection="1">
      <alignment horizontal="justify" vertical="center"/>
      <protection locked="0"/>
    </xf>
    <xf numFmtId="0" fontId="20" fillId="0" borderId="0" xfId="0" applyFont="1" applyAlignment="1">
      <alignment horizontal="center" vertical="center" wrapText="1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/>
    </xf>
    <xf numFmtId="0" fontId="21" fillId="0" borderId="1" xfId="0" applyFont="1" applyBorder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left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justify" vertical="top" wrapText="1"/>
      <protection locked="0"/>
    </xf>
    <xf numFmtId="0" fontId="32" fillId="0" borderId="1" xfId="0" applyFont="1" applyBorder="1" applyProtection="1">
      <protection locked="0"/>
    </xf>
    <xf numFmtId="0" fontId="32" fillId="0" borderId="4" xfId="0" applyFont="1" applyBorder="1" applyAlignment="1" applyProtection="1">
      <alignment horizontal="left" vertical="center" wrapText="1"/>
      <protection locked="0"/>
    </xf>
    <xf numFmtId="0" fontId="15" fillId="0" borderId="6" xfId="0" applyFont="1" applyBorder="1" applyAlignment="1" applyProtection="1">
      <alignment horizontal="left" vertical="center"/>
      <protection locked="0"/>
    </xf>
    <xf numFmtId="0" fontId="19" fillId="0" borderId="4" xfId="0" applyFont="1" applyBorder="1" applyAlignment="1" applyProtection="1">
      <alignment horizontal="justify" wrapText="1"/>
      <protection locked="0"/>
    </xf>
    <xf numFmtId="0" fontId="21" fillId="6" borderId="1" xfId="2" applyFont="1" applyFill="1" applyBorder="1" applyAlignment="1">
      <alignment horizontal="center" vertical="center" wrapText="1"/>
    </xf>
    <xf numFmtId="2" fontId="15" fillId="0" borderId="1" xfId="2" applyNumberFormat="1" applyBorder="1"/>
    <xf numFmtId="0" fontId="19" fillId="0" borderId="2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2" fontId="21" fillId="0" borderId="1" xfId="2" applyNumberFormat="1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" fontId="40" fillId="0" borderId="4" xfId="0" applyNumberFormat="1" applyFont="1" applyBorder="1" applyAlignment="1">
      <alignment horizontal="left" vertical="center"/>
    </xf>
    <xf numFmtId="1" fontId="40" fillId="0" borderId="5" xfId="0" applyNumberFormat="1" applyFont="1" applyBorder="1" applyAlignment="1">
      <alignment horizontal="left" vertical="center"/>
    </xf>
    <xf numFmtId="1" fontId="40" fillId="0" borderId="6" xfId="0" applyNumberFormat="1" applyFont="1" applyBorder="1" applyAlignment="1">
      <alignment horizontal="left" vertical="center"/>
    </xf>
    <xf numFmtId="0" fontId="40" fillId="0" borderId="4" xfId="0" applyFont="1" applyBorder="1" applyAlignment="1" applyProtection="1">
      <alignment horizontal="left" vertical="top" wrapText="1"/>
      <protection locked="0"/>
    </xf>
    <xf numFmtId="0" fontId="40" fillId="0" borderId="5" xfId="0" applyFont="1" applyBorder="1" applyAlignment="1" applyProtection="1">
      <alignment horizontal="left" vertical="top" wrapText="1"/>
      <protection locked="0"/>
    </xf>
    <xf numFmtId="0" fontId="40" fillId="0" borderId="6" xfId="0" applyFont="1" applyBorder="1" applyAlignment="1" applyProtection="1">
      <alignment horizontal="left" vertical="top" wrapText="1"/>
      <protection locked="0"/>
    </xf>
    <xf numFmtId="0" fontId="32" fillId="0" borderId="4" xfId="0" applyFont="1" applyBorder="1" applyAlignment="1" applyProtection="1">
      <alignment horizontal="left" vertical="top" wrapText="1"/>
      <protection locked="0"/>
    </xf>
    <xf numFmtId="0" fontId="32" fillId="0" borderId="5" xfId="0" applyFont="1" applyBorder="1" applyAlignment="1" applyProtection="1">
      <alignment horizontal="left" vertical="top" wrapText="1"/>
      <protection locked="0"/>
    </xf>
    <xf numFmtId="0" fontId="40" fillId="0" borderId="4" xfId="0" applyFont="1" applyBorder="1" applyAlignment="1" applyProtection="1">
      <alignment horizontal="justify" vertical="top" wrapText="1"/>
      <protection locked="0"/>
    </xf>
    <xf numFmtId="0" fontId="40" fillId="0" borderId="5" xfId="0" applyFont="1" applyBorder="1" applyAlignment="1" applyProtection="1">
      <alignment horizontal="justify" vertical="top" wrapText="1"/>
      <protection locked="0"/>
    </xf>
    <xf numFmtId="0" fontId="40" fillId="0" borderId="6" xfId="0" applyFont="1" applyBorder="1" applyAlignment="1" applyProtection="1">
      <alignment horizontal="justify" vertical="top" wrapText="1"/>
      <protection locked="0"/>
    </xf>
    <xf numFmtId="2" fontId="15" fillId="0" borderId="4" xfId="2" applyNumberFormat="1" applyBorder="1"/>
    <xf numFmtId="2" fontId="21" fillId="0" borderId="4" xfId="2" applyNumberFormat="1" applyFont="1" applyBorder="1" applyAlignment="1">
      <alignment horizontal="center"/>
    </xf>
    <xf numFmtId="0" fontId="19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left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15" fillId="0" borderId="6" xfId="2" applyBorder="1" applyAlignment="1" applyProtection="1">
      <alignment horizontal="center" vertical="center" wrapText="1"/>
      <protection locked="0"/>
    </xf>
    <xf numFmtId="0" fontId="29" fillId="6" borderId="4" xfId="2" applyFont="1" applyFill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/>
    </xf>
    <xf numFmtId="0" fontId="30" fillId="0" borderId="5" xfId="0" applyFont="1" applyBorder="1" applyAlignment="1" applyProtection="1">
      <alignment horizontal="left"/>
      <protection locked="0"/>
    </xf>
    <xf numFmtId="0" fontId="30" fillId="0" borderId="6" xfId="0" applyFont="1" applyBorder="1" applyAlignment="1" applyProtection="1">
      <alignment horizontal="left"/>
      <protection locked="0"/>
    </xf>
    <xf numFmtId="0" fontId="30" fillId="0" borderId="3" xfId="0" applyFont="1" applyBorder="1" applyAlignment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32" fillId="6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 applyProtection="1">
      <alignment horizontal="left" vertical="top" wrapText="1"/>
      <protection locked="0"/>
    </xf>
    <xf numFmtId="0" fontId="21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2" fontId="21" fillId="0" borderId="6" xfId="0" applyNumberFormat="1" applyFont="1" applyBorder="1" applyAlignment="1">
      <alignment horizontal="right" vertical="center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justify" vertical="center"/>
    </xf>
    <xf numFmtId="0" fontId="34" fillId="0" borderId="0" xfId="0" applyFont="1" applyAlignment="1">
      <alignment horizontal="left"/>
    </xf>
    <xf numFmtId="0" fontId="19" fillId="0" borderId="3" xfId="0" applyFont="1" applyBorder="1" applyAlignment="1">
      <alignment horizontal="left" wrapText="1"/>
    </xf>
    <xf numFmtId="0" fontId="19" fillId="0" borderId="3" xfId="0" applyFont="1" applyBorder="1" applyAlignment="1" applyProtection="1">
      <alignment horizontal="left"/>
      <protection locked="0"/>
    </xf>
    <xf numFmtId="0" fontId="29" fillId="0" borderId="0" xfId="0" applyFont="1" applyAlignment="1" applyProtection="1">
      <alignment horizontal="justify" vertical="top"/>
      <protection locked="0"/>
    </xf>
    <xf numFmtId="0" fontId="16" fillId="0" borderId="0" xfId="0" applyFont="1" applyAlignment="1" applyProtection="1">
      <alignment horizontal="justify" vertical="top"/>
      <protection locked="0"/>
    </xf>
    <xf numFmtId="0" fontId="29" fillId="0" borderId="2" xfId="0" applyFont="1" applyBorder="1" applyAlignment="1" applyProtection="1">
      <alignment horizontal="justify" vertical="top"/>
      <protection locked="0"/>
    </xf>
    <xf numFmtId="0" fontId="0" fillId="0" borderId="2" xfId="0" applyBorder="1" applyAlignment="1" applyProtection="1">
      <alignment horizontal="justify" vertical="top"/>
      <protection locked="0"/>
    </xf>
    <xf numFmtId="0" fontId="30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right"/>
      <protection locked="0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Protection="1">
      <protection locked="0"/>
    </xf>
    <xf numFmtId="0" fontId="0" fillId="0" borderId="5" xfId="0" applyBorder="1" applyAlignment="1" applyProtection="1">
      <alignment vertical="center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top" wrapText="1"/>
      <protection locked="0"/>
    </xf>
    <xf numFmtId="0" fontId="28" fillId="0" borderId="5" xfId="0" applyFont="1" applyBorder="1" applyAlignment="1" applyProtection="1">
      <alignment horizontal="left" wrapText="1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40" fillId="0" borderId="4" xfId="0" applyFont="1" applyBorder="1" applyAlignment="1" applyProtection="1">
      <alignment horizontal="left" vertical="center" wrapText="1"/>
      <protection locked="0"/>
    </xf>
    <xf numFmtId="0" fontId="40" fillId="0" borderId="5" xfId="0" applyFont="1" applyBorder="1" applyAlignment="1" applyProtection="1">
      <alignment horizontal="left" vertical="center" wrapText="1"/>
      <protection locked="0"/>
    </xf>
    <xf numFmtId="0" fontId="40" fillId="0" borderId="6" xfId="0" applyFont="1" applyBorder="1" applyAlignment="1" applyProtection="1">
      <alignment horizontal="left" vertical="center" wrapText="1"/>
      <protection locked="0"/>
    </xf>
    <xf numFmtId="0" fontId="32" fillId="0" borderId="6" xfId="0" applyFont="1" applyBorder="1" applyAlignment="1" applyProtection="1">
      <alignment horizontal="left" vertical="top" wrapText="1"/>
      <protection locked="0"/>
    </xf>
    <xf numFmtId="0" fontId="29" fillId="0" borderId="4" xfId="0" applyFont="1" applyBorder="1" applyAlignment="1" applyProtection="1">
      <alignment horizontal="center" vertical="center"/>
      <protection locked="0"/>
    </xf>
    <xf numFmtId="0" fontId="29" fillId="0" borderId="6" xfId="0" applyFont="1" applyBorder="1" applyAlignment="1" applyProtection="1">
      <alignment horizontal="center" vertical="center"/>
      <protection locked="0"/>
    </xf>
    <xf numFmtId="0" fontId="32" fillId="2" borderId="4" xfId="0" applyFont="1" applyFill="1" applyBorder="1" applyAlignment="1" applyProtection="1">
      <alignment horizontal="left" vertical="top" wrapText="1"/>
      <protection locked="0"/>
    </xf>
    <xf numFmtId="0" fontId="32" fillId="2" borderId="6" xfId="0" applyFont="1" applyFill="1" applyBorder="1" applyAlignment="1" applyProtection="1">
      <alignment horizontal="left" vertical="top" wrapText="1"/>
      <protection locked="0"/>
    </xf>
    <xf numFmtId="167" fontId="29" fillId="2" borderId="4" xfId="0" applyNumberFormat="1" applyFont="1" applyFill="1" applyBorder="1" applyProtection="1">
      <protection locked="0"/>
    </xf>
    <xf numFmtId="167" fontId="29" fillId="2" borderId="6" xfId="0" applyNumberFormat="1" applyFont="1" applyFill="1" applyBorder="1" applyProtection="1">
      <protection locked="0"/>
    </xf>
    <xf numFmtId="0" fontId="32" fillId="2" borderId="4" xfId="0" applyFont="1" applyFill="1" applyBorder="1" applyAlignment="1" applyProtection="1">
      <alignment horizontal="justify" vertical="top" wrapText="1"/>
      <protection locked="0"/>
    </xf>
    <xf numFmtId="0" fontId="32" fillId="2" borderId="6" xfId="0" applyFont="1" applyFill="1" applyBorder="1" applyAlignment="1" applyProtection="1">
      <alignment horizontal="justify" vertical="top" wrapText="1"/>
      <protection locked="0"/>
    </xf>
    <xf numFmtId="0" fontId="29" fillId="2" borderId="4" xfId="0" applyFont="1" applyFill="1" applyBorder="1" applyAlignment="1" applyProtection="1">
      <alignment horizontal="center" vertical="center"/>
      <protection locked="0"/>
    </xf>
    <xf numFmtId="0" fontId="29" fillId="2" borderId="6" xfId="0" applyFont="1" applyFill="1" applyBorder="1" applyAlignment="1" applyProtection="1">
      <alignment horizontal="center" vertical="center"/>
      <protection locked="0"/>
    </xf>
    <xf numFmtId="167" fontId="29" fillId="0" borderId="4" xfId="0" applyNumberFormat="1" applyFont="1" applyBorder="1" applyAlignment="1" applyProtection="1">
      <alignment horizontal="center" vertical="center"/>
      <protection locked="0"/>
    </xf>
    <xf numFmtId="167" fontId="29" fillId="0" borderId="6" xfId="0" applyNumberFormat="1" applyFont="1" applyBorder="1" applyAlignment="1" applyProtection="1">
      <alignment horizontal="center" vertical="center"/>
      <protection locked="0"/>
    </xf>
    <xf numFmtId="0" fontId="32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center" vertical="center"/>
      <protection locked="0"/>
    </xf>
    <xf numFmtId="2" fontId="29" fillId="0" borderId="6" xfId="0" applyNumberFormat="1" applyFont="1" applyBorder="1" applyAlignment="1" applyProtection="1">
      <alignment horizontal="center" vertical="center"/>
      <protection locked="0"/>
    </xf>
    <xf numFmtId="0" fontId="40" fillId="2" borderId="4" xfId="0" applyFont="1" applyFill="1" applyBorder="1" applyAlignment="1" applyProtection="1">
      <alignment horizontal="left" vertical="top" wrapText="1"/>
      <protection locked="0"/>
    </xf>
    <xf numFmtId="0" fontId="40" fillId="2" borderId="5" xfId="0" applyFont="1" applyFill="1" applyBorder="1" applyAlignment="1" applyProtection="1">
      <alignment horizontal="left" vertical="top" wrapText="1"/>
      <protection locked="0"/>
    </xf>
    <xf numFmtId="0" fontId="40" fillId="2" borderId="6" xfId="0" applyFont="1" applyFill="1" applyBorder="1" applyAlignment="1" applyProtection="1">
      <alignment horizontal="left" vertical="top" wrapText="1"/>
      <protection locked="0"/>
    </xf>
    <xf numFmtId="0" fontId="32" fillId="2" borderId="1" xfId="0" applyFont="1" applyFill="1" applyBorder="1" applyAlignment="1" applyProtection="1">
      <alignment horizontal="justify" vertical="top" wrapText="1"/>
      <protection locked="0"/>
    </xf>
    <xf numFmtId="0" fontId="17" fillId="2" borderId="1" xfId="0" applyFont="1" applyFill="1" applyBorder="1" applyAlignment="1" applyProtection="1">
      <alignment horizontal="justify" wrapText="1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28" fillId="2" borderId="5" xfId="0" applyFont="1" applyFill="1" applyBorder="1" applyAlignment="1" applyProtection="1">
      <alignment horizontal="left" wrapText="1"/>
      <protection locked="0"/>
    </xf>
    <xf numFmtId="0" fontId="12" fillId="2" borderId="5" xfId="0" applyFont="1" applyFill="1" applyBorder="1" applyAlignment="1" applyProtection="1">
      <alignment horizontal="left"/>
      <protection locked="0"/>
    </xf>
    <xf numFmtId="0" fontId="12" fillId="2" borderId="6" xfId="0" applyFont="1" applyFill="1" applyBorder="1" applyAlignment="1" applyProtection="1">
      <alignment horizontal="left"/>
      <protection locked="0"/>
    </xf>
    <xf numFmtId="0" fontId="32" fillId="0" borderId="4" xfId="0" applyFont="1" applyBorder="1" applyAlignment="1" applyProtection="1">
      <alignment horizontal="justify" vertical="top" wrapText="1"/>
      <protection locked="0"/>
    </xf>
    <xf numFmtId="0" fontId="32" fillId="0" borderId="6" xfId="0" applyFont="1" applyBorder="1" applyAlignment="1" applyProtection="1">
      <alignment horizontal="justify" vertical="top" wrapText="1"/>
      <protection locked="0"/>
    </xf>
    <xf numFmtId="4" fontId="29" fillId="0" borderId="4" xfId="0" applyNumberFormat="1" applyFont="1" applyBorder="1" applyAlignment="1" applyProtection="1">
      <alignment horizontal="center" vertical="center"/>
      <protection locked="0"/>
    </xf>
    <xf numFmtId="4" fontId="29" fillId="0" borderId="6" xfId="0" applyNumberFormat="1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0" fontId="0" fillId="0" borderId="6" xfId="0" applyBorder="1" applyAlignment="1" applyProtection="1">
      <alignment horizontal="right"/>
      <protection locked="0"/>
    </xf>
    <xf numFmtId="2" fontId="21" fillId="0" borderId="4" xfId="0" applyNumberFormat="1" applyFont="1" applyBorder="1" applyAlignment="1" applyProtection="1">
      <alignment horizontal="center"/>
      <protection locked="0"/>
    </xf>
    <xf numFmtId="2" fontId="21" fillId="0" borderId="6" xfId="0" applyNumberFormat="1" applyFont="1" applyBorder="1" applyAlignment="1" applyProtection="1">
      <alignment horizontal="center"/>
      <protection locked="0"/>
    </xf>
    <xf numFmtId="0" fontId="29" fillId="6" borderId="4" xfId="0" applyFont="1" applyFill="1" applyBorder="1" applyAlignment="1">
      <alignment horizontal="center" vertical="center" wrapText="1"/>
    </xf>
    <xf numFmtId="0" fontId="29" fillId="6" borderId="6" xfId="0" applyFont="1" applyFill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29" fillId="0" borderId="6" xfId="0" applyNumberFormat="1" applyFont="1" applyBorder="1" applyAlignment="1">
      <alignment horizontal="center" vertical="center"/>
    </xf>
    <xf numFmtId="0" fontId="30" fillId="6" borderId="4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2" fontId="30" fillId="0" borderId="4" xfId="0" applyNumberFormat="1" applyFont="1" applyBorder="1" applyAlignment="1">
      <alignment horizontal="center" vertical="center"/>
    </xf>
    <xf numFmtId="2" fontId="30" fillId="0" borderId="6" xfId="0" applyNumberFormat="1" applyFont="1" applyBorder="1" applyAlignment="1">
      <alignment horizontal="center" vertical="center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42" fillId="0" borderId="2" xfId="0" applyFont="1" applyBorder="1" applyAlignment="1" applyProtection="1">
      <alignment vertical="justify"/>
      <protection locked="0"/>
    </xf>
    <xf numFmtId="0" fontId="21" fillId="0" borderId="2" xfId="0" applyFont="1" applyBorder="1" applyAlignment="1" applyProtection="1">
      <alignment vertical="justify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vertical="center" wrapText="1"/>
      <protection locked="0"/>
    </xf>
    <xf numFmtId="0" fontId="21" fillId="0" borderId="6" xfId="0" applyFont="1" applyBorder="1" applyAlignment="1" applyProtection="1">
      <alignment vertical="center" wrapText="1"/>
      <protection locked="0"/>
    </xf>
    <xf numFmtId="2" fontId="19" fillId="0" borderId="4" xfId="0" applyNumberFormat="1" applyFont="1" applyBorder="1" applyAlignment="1" applyProtection="1">
      <alignment horizontal="justify" vertical="center" wrapText="1"/>
      <protection locked="0"/>
    </xf>
    <xf numFmtId="2" fontId="19" fillId="0" borderId="6" xfId="0" applyNumberFormat="1" applyFont="1" applyBorder="1" applyAlignment="1" applyProtection="1">
      <alignment horizontal="justify" vertical="center" wrapText="1"/>
      <protection locked="0"/>
    </xf>
    <xf numFmtId="0" fontId="19" fillId="0" borderId="4" xfId="0" applyFont="1" applyBorder="1" applyAlignment="1" applyProtection="1">
      <alignment horizontal="justify" vertical="center"/>
      <protection locked="0"/>
    </xf>
    <xf numFmtId="0" fontId="21" fillId="0" borderId="6" xfId="0" applyFont="1" applyBorder="1" applyAlignment="1" applyProtection="1">
      <alignment horizontal="justify" vertical="center"/>
      <protection locked="0"/>
    </xf>
    <xf numFmtId="0" fontId="21" fillId="0" borderId="5" xfId="0" applyFont="1" applyBorder="1" applyAlignment="1" applyProtection="1">
      <alignment wrapText="1"/>
      <protection locked="0"/>
    </xf>
    <xf numFmtId="0" fontId="21" fillId="0" borderId="6" xfId="0" applyFont="1" applyBorder="1" applyAlignment="1" applyProtection="1">
      <alignment wrapText="1"/>
      <protection locked="0"/>
    </xf>
    <xf numFmtId="2" fontId="31" fillId="0" borderId="4" xfId="0" applyNumberFormat="1" applyFont="1" applyBorder="1" applyAlignment="1" applyProtection="1">
      <alignment horizontal="right" wrapText="1"/>
      <protection locked="0"/>
    </xf>
    <xf numFmtId="2" fontId="31" fillId="0" borderId="6" xfId="0" applyNumberFormat="1" applyFont="1" applyBorder="1" applyAlignment="1" applyProtection="1">
      <alignment horizontal="right" wrapText="1"/>
      <protection locked="0"/>
    </xf>
    <xf numFmtId="2" fontId="31" fillId="0" borderId="4" xfId="0" applyNumberFormat="1" applyFont="1" applyBorder="1" applyProtection="1">
      <protection locked="0"/>
    </xf>
    <xf numFmtId="2" fontId="31" fillId="0" borderId="6" xfId="0" applyNumberFormat="1" applyFont="1" applyBorder="1" applyProtection="1">
      <protection locked="0"/>
    </xf>
    <xf numFmtId="1" fontId="31" fillId="0" borderId="4" xfId="0" applyNumberFormat="1" applyFont="1" applyBorder="1" applyAlignment="1" applyProtection="1">
      <alignment horizontal="right" wrapText="1"/>
      <protection locked="0"/>
    </xf>
    <xf numFmtId="1" fontId="31" fillId="0" borderId="5" xfId="0" applyNumberFormat="1" applyFont="1" applyBorder="1" applyAlignment="1" applyProtection="1">
      <alignment horizontal="right" wrapText="1"/>
      <protection locked="0"/>
    </xf>
    <xf numFmtId="0" fontId="31" fillId="0" borderId="5" xfId="0" applyFont="1" applyBorder="1" applyProtection="1">
      <protection locked="0"/>
    </xf>
    <xf numFmtId="0" fontId="31" fillId="0" borderId="6" xfId="0" applyFont="1" applyBorder="1" applyProtection="1">
      <protection locked="0"/>
    </xf>
    <xf numFmtId="168" fontId="31" fillId="0" borderId="1" xfId="0" applyNumberFormat="1" applyFont="1" applyBorder="1" applyAlignment="1" applyProtection="1">
      <alignment horizontal="right" wrapText="1"/>
      <protection locked="0"/>
    </xf>
    <xf numFmtId="168" fontId="21" fillId="0" borderId="1" xfId="0" applyNumberFormat="1" applyFont="1" applyBorder="1" applyAlignment="1" applyProtection="1">
      <alignment horizontal="right" wrapText="1"/>
      <protection locked="0"/>
    </xf>
    <xf numFmtId="168" fontId="31" fillId="0" borderId="5" xfId="0" applyNumberFormat="1" applyFont="1" applyBorder="1" applyAlignment="1" applyProtection="1">
      <alignment horizontal="right"/>
      <protection locked="0"/>
    </xf>
    <xf numFmtId="168" fontId="21" fillId="0" borderId="6" xfId="0" applyNumberFormat="1" applyFont="1" applyBorder="1" applyAlignment="1" applyProtection="1">
      <alignment horizontal="right"/>
      <protection locked="0"/>
    </xf>
    <xf numFmtId="0" fontId="19" fillId="0" borderId="4" xfId="0" applyFont="1" applyBorder="1" applyAlignment="1" applyProtection="1">
      <alignment horizontal="left" wrapText="1"/>
      <protection locked="0"/>
    </xf>
    <xf numFmtId="0" fontId="19" fillId="0" borderId="5" xfId="0" applyFont="1" applyBorder="1" applyAlignment="1" applyProtection="1">
      <alignment wrapText="1"/>
      <protection locked="0"/>
    </xf>
    <xf numFmtId="0" fontId="19" fillId="0" borderId="6" xfId="0" applyFont="1" applyBorder="1" applyAlignment="1" applyProtection="1">
      <alignment wrapText="1"/>
      <protection locked="0"/>
    </xf>
    <xf numFmtId="2" fontId="20" fillId="0" borderId="5" xfId="0" applyNumberFormat="1" applyFont="1" applyBorder="1" applyProtection="1">
      <protection locked="0"/>
    </xf>
    <xf numFmtId="0" fontId="20" fillId="0" borderId="6" xfId="0" applyFont="1" applyBorder="1" applyProtection="1">
      <protection locked="0"/>
    </xf>
    <xf numFmtId="164" fontId="31" fillId="0" borderId="1" xfId="0" applyNumberFormat="1" applyFont="1" applyBorder="1" applyAlignment="1" applyProtection="1">
      <alignment horizontal="right" wrapText="1"/>
      <protection locked="0"/>
    </xf>
    <xf numFmtId="164" fontId="21" fillId="0" borderId="1" xfId="0" applyNumberFormat="1" applyFont="1" applyBorder="1" applyAlignment="1" applyProtection="1">
      <alignment horizontal="right" wrapText="1"/>
      <protection locked="0"/>
    </xf>
    <xf numFmtId="164" fontId="31" fillId="0" borderId="5" xfId="0" applyNumberFormat="1" applyFont="1" applyBorder="1" applyAlignment="1" applyProtection="1">
      <alignment horizontal="right"/>
      <protection locked="0"/>
    </xf>
    <xf numFmtId="164" fontId="21" fillId="0" borderId="6" xfId="0" applyNumberFormat="1" applyFont="1" applyBorder="1" applyAlignment="1" applyProtection="1">
      <alignment horizontal="right"/>
      <protection locked="0"/>
    </xf>
    <xf numFmtId="2" fontId="31" fillId="0" borderId="1" xfId="0" applyNumberFormat="1" applyFont="1" applyBorder="1" applyAlignment="1" applyProtection="1">
      <alignment horizontal="right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165" fontId="31" fillId="0" borderId="5" xfId="0" applyNumberFormat="1" applyFont="1" applyBorder="1" applyAlignment="1" applyProtection="1">
      <alignment horizontal="right"/>
      <protection locked="0"/>
    </xf>
    <xf numFmtId="165" fontId="21" fillId="0" borderId="6" xfId="0" applyNumberFormat="1" applyFont="1" applyBorder="1" applyAlignment="1" applyProtection="1">
      <alignment horizontal="right"/>
      <protection locked="0"/>
    </xf>
    <xf numFmtId="0" fontId="30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31" fillId="0" borderId="4" xfId="0" applyFont="1" applyBorder="1" applyAlignment="1" applyProtection="1">
      <alignment horizontal="left" vertical="center" wrapText="1"/>
      <protection locked="0"/>
    </xf>
    <xf numFmtId="0" fontId="31" fillId="0" borderId="5" xfId="0" applyFont="1" applyBorder="1" applyAlignment="1" applyProtection="1">
      <alignment vertical="center" wrapText="1"/>
      <protection locked="0"/>
    </xf>
    <xf numFmtId="0" fontId="31" fillId="0" borderId="6" xfId="0" applyFont="1" applyBorder="1" applyAlignment="1" applyProtection="1">
      <alignment vertical="center" wrapText="1"/>
      <protection locked="0"/>
    </xf>
    <xf numFmtId="2" fontId="20" fillId="0" borderId="4" xfId="0" applyNumberFormat="1" applyFont="1" applyBorder="1" applyAlignment="1" applyProtection="1">
      <alignment horizontal="right" vertical="center" wrapText="1"/>
      <protection locked="0"/>
    </xf>
    <xf numFmtId="0" fontId="20" fillId="0" borderId="5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1" fillId="0" borderId="5" xfId="0" applyFont="1" applyBorder="1" applyProtection="1">
      <protection locked="0"/>
    </xf>
    <xf numFmtId="0" fontId="21" fillId="0" borderId="6" xfId="0" applyFont="1" applyBorder="1" applyProtection="1">
      <protection locked="0"/>
    </xf>
    <xf numFmtId="165" fontId="20" fillId="0" borderId="4" xfId="0" applyNumberFormat="1" applyFont="1" applyBorder="1" applyAlignment="1" applyProtection="1">
      <alignment horizontal="right"/>
      <protection locked="0"/>
    </xf>
    <xf numFmtId="165" fontId="20" fillId="0" borderId="5" xfId="0" applyNumberFormat="1" applyFont="1" applyBorder="1" applyAlignment="1" applyProtection="1">
      <alignment horizontal="right"/>
      <protection locked="0"/>
    </xf>
    <xf numFmtId="165" fontId="20" fillId="0" borderId="6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justify"/>
      <protection locked="0"/>
    </xf>
    <xf numFmtId="0" fontId="21" fillId="6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justify" vertical="justify" wrapText="1"/>
    </xf>
    <xf numFmtId="0" fontId="16" fillId="0" borderId="6" xfId="0" applyFont="1" applyBorder="1" applyAlignment="1" applyProtection="1">
      <alignment horizontal="justify" vertical="justify" wrapText="1"/>
      <protection locked="0"/>
    </xf>
    <xf numFmtId="0" fontId="29" fillId="6" borderId="4" xfId="0" applyFont="1" applyFill="1" applyBorder="1" applyAlignment="1">
      <alignment horizontal="justify" vertical="center" wrapText="1"/>
    </xf>
    <xf numFmtId="0" fontId="29" fillId="6" borderId="6" xfId="0" applyFont="1" applyFill="1" applyBorder="1" applyAlignment="1">
      <alignment horizontal="justify" vertical="center" wrapText="1"/>
    </xf>
    <xf numFmtId="0" fontId="0" fillId="0" borderId="2" xfId="0" applyBorder="1" applyAlignment="1" applyProtection="1">
      <alignment horizontal="left" vertical="center" wrapText="1"/>
      <protection locked="0"/>
    </xf>
    <xf numFmtId="49" fontId="21" fillId="0" borderId="4" xfId="0" applyNumberFormat="1" applyFont="1" applyBorder="1" applyAlignment="1">
      <alignment horizontal="left" vertical="justify"/>
    </xf>
    <xf numFmtId="49" fontId="21" fillId="0" borderId="4" xfId="0" applyNumberFormat="1" applyFont="1" applyBorder="1" applyAlignment="1">
      <alignment horizontal="left" vertical="justify" wrapText="1"/>
    </xf>
    <xf numFmtId="49" fontId="21" fillId="0" borderId="4" xfId="0" applyNumberFormat="1" applyFont="1" applyBorder="1" applyAlignment="1">
      <alignment horizontal="left" vertical="center" wrapText="1"/>
    </xf>
    <xf numFmtId="0" fontId="20" fillId="0" borderId="4" xfId="0" applyFont="1" applyBorder="1" applyAlignment="1">
      <alignment wrapText="1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0" xfId="0" applyFont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justify" wrapText="1"/>
      <protection locked="0"/>
    </xf>
    <xf numFmtId="0" fontId="31" fillId="0" borderId="5" xfId="0" applyFont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alignment horizontal="left" vertical="center" wrapText="1"/>
      <protection locked="0"/>
    </xf>
    <xf numFmtId="2" fontId="19" fillId="0" borderId="4" xfId="0" applyNumberFormat="1" applyFont="1" applyBorder="1" applyAlignment="1" applyProtection="1">
      <alignment horizontal="right" wrapText="1"/>
      <protection locked="0"/>
    </xf>
    <xf numFmtId="165" fontId="19" fillId="0" borderId="4" xfId="0" applyNumberFormat="1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 wrapText="1"/>
    </xf>
    <xf numFmtId="0" fontId="35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0" fillId="6" borderId="4" xfId="0" applyFont="1" applyFill="1" applyBorder="1" applyAlignment="1">
      <alignment horizontal="left" vertical="center" wrapText="1"/>
    </xf>
    <xf numFmtId="0" fontId="30" fillId="6" borderId="5" xfId="0" applyFont="1" applyFill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vertical="center" wrapText="1"/>
    </xf>
    <xf numFmtId="0" fontId="30" fillId="0" borderId="3" xfId="0" applyFont="1" applyBorder="1" applyAlignment="1">
      <alignment horizontal="justify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30" fillId="0" borderId="5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15" fillId="0" borderId="6" xfId="0" applyFont="1" applyBorder="1" applyAlignment="1" applyProtection="1">
      <alignment horizontal="center"/>
      <protection locked="0"/>
    </xf>
    <xf numFmtId="0" fontId="29" fillId="0" borderId="6" xfId="0" applyFont="1" applyBorder="1" applyAlignment="1" applyProtection="1">
      <alignment horizontal="left" wrapText="1"/>
      <protection locked="0"/>
    </xf>
    <xf numFmtId="0" fontId="15" fillId="0" borderId="6" xfId="0" applyFont="1" applyBorder="1" applyAlignment="1" applyProtection="1">
      <alignment horizontal="left" wrapText="1"/>
      <protection locked="0"/>
    </xf>
    <xf numFmtId="0" fontId="29" fillId="6" borderId="4" xfId="0" applyFont="1" applyFill="1" applyBorder="1" applyAlignment="1">
      <alignment horizontal="justify" wrapText="1"/>
    </xf>
    <xf numFmtId="0" fontId="29" fillId="0" borderId="6" xfId="0" applyFont="1" applyBorder="1" applyAlignment="1" applyProtection="1">
      <alignment horizontal="justify" wrapText="1"/>
      <protection locked="0"/>
    </xf>
    <xf numFmtId="0" fontId="0" fillId="0" borderId="6" xfId="0" applyBorder="1" applyAlignment="1" applyProtection="1">
      <alignment horizontal="left" wrapText="1"/>
      <protection locked="0"/>
    </xf>
    <xf numFmtId="2" fontId="16" fillId="0" borderId="4" xfId="0" applyNumberFormat="1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left" wrapText="1"/>
      <protection locked="0"/>
    </xf>
    <xf numFmtId="2" fontId="33" fillId="0" borderId="4" xfId="0" applyNumberFormat="1" applyFont="1" applyBorder="1" applyAlignment="1" applyProtection="1">
      <alignment horizontal="right"/>
      <protection locked="0"/>
    </xf>
    <xf numFmtId="2" fontId="12" fillId="0" borderId="6" xfId="0" applyNumberFormat="1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right"/>
      <protection locked="0"/>
    </xf>
    <xf numFmtId="2" fontId="40" fillId="0" borderId="4" xfId="0" applyNumberFormat="1" applyFont="1" applyBorder="1" applyAlignment="1">
      <alignment horizontal="left"/>
    </xf>
    <xf numFmtId="0" fontId="29" fillId="6" borderId="6" xfId="0" applyFont="1" applyFill="1" applyBorder="1" applyAlignment="1">
      <alignment horizontal="left" wrapText="1"/>
    </xf>
    <xf numFmtId="2" fontId="16" fillId="0" borderId="6" xfId="0" applyNumberFormat="1" applyFont="1" applyBorder="1" applyAlignment="1" applyProtection="1">
      <alignment horizontal="right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justify" vertical="center" wrapText="1"/>
      <protection locked="0"/>
    </xf>
    <xf numFmtId="2" fontId="12" fillId="0" borderId="5" xfId="0" applyNumberFormat="1" applyFont="1" applyBorder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horizontal="right" vertical="center"/>
      <protection locked="0"/>
    </xf>
    <xf numFmtId="0" fontId="12" fillId="0" borderId="6" xfId="0" applyFont="1" applyBorder="1" applyAlignment="1" applyProtection="1">
      <alignment horizontal="right" vertical="center"/>
      <protection locked="0"/>
    </xf>
    <xf numFmtId="165" fontId="42" fillId="0" borderId="4" xfId="0" applyNumberFormat="1" applyFont="1" applyBorder="1" applyAlignment="1">
      <alignment horizontal="right" vertical="center"/>
    </xf>
    <xf numFmtId="165" fontId="42" fillId="0" borderId="5" xfId="0" applyNumberFormat="1" applyFont="1" applyBorder="1" applyAlignment="1">
      <alignment horizontal="right" vertical="center"/>
    </xf>
    <xf numFmtId="0" fontId="43" fillId="0" borderId="5" xfId="0" applyFont="1" applyBorder="1" applyAlignment="1" applyProtection="1">
      <alignment horizontal="right" vertical="center"/>
      <protection locked="0"/>
    </xf>
    <xf numFmtId="0" fontId="43" fillId="0" borderId="6" xfId="0" applyFont="1" applyBorder="1" applyAlignment="1" applyProtection="1">
      <alignment horizontal="right" vertical="center"/>
      <protection locked="0"/>
    </xf>
    <xf numFmtId="0" fontId="31" fillId="0" borderId="4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 applyProtection="1">
      <alignment wrapText="1"/>
      <protection locked="0"/>
    </xf>
    <xf numFmtId="2" fontId="19" fillId="0" borderId="6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15" fillId="0" borderId="1" xfId="0" applyFont="1" applyBorder="1" applyAlignment="1" applyProtection="1">
      <alignment horizontal="right" vertical="center"/>
      <protection locked="0"/>
    </xf>
    <xf numFmtId="2" fontId="15" fillId="0" borderId="1" xfId="0" applyNumberFormat="1" applyFont="1" applyBorder="1" applyAlignment="1" applyProtection="1">
      <alignment horizontal="right" vertical="center"/>
      <protection locked="0"/>
    </xf>
    <xf numFmtId="2" fontId="15" fillId="0" borderId="6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vertical="center" wrapText="1"/>
      <protection locked="0"/>
    </xf>
    <xf numFmtId="0" fontId="12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2" fontId="0" fillId="0" borderId="6" xfId="0" applyNumberFormat="1" applyBorder="1" applyAlignment="1" applyProtection="1">
      <alignment horizontal="right" vertical="center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168" fontId="21" fillId="0" borderId="4" xfId="0" applyNumberFormat="1" applyFont="1" applyBorder="1" applyAlignment="1">
      <alignment horizontal="right" vertical="center"/>
    </xf>
    <xf numFmtId="168" fontId="0" fillId="0" borderId="6" xfId="0" applyNumberFormat="1" applyBorder="1" applyAlignment="1" applyProtection="1">
      <alignment horizontal="right" vertical="center"/>
      <protection locked="0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Protection="1">
      <protection locked="0"/>
    </xf>
    <xf numFmtId="0" fontId="19" fillId="0" borderId="5" xfId="0" applyFont="1" applyBorder="1" applyAlignment="1" applyProtection="1">
      <alignment horizontal="right" vertical="center"/>
      <protection locked="0"/>
    </xf>
    <xf numFmtId="0" fontId="29" fillId="6" borderId="1" xfId="0" applyFont="1" applyFill="1" applyBorder="1" applyAlignment="1">
      <alignment horizontal="left" wrapText="1"/>
    </xf>
    <xf numFmtId="2" fontId="29" fillId="0" borderId="1" xfId="0" applyNumberFormat="1" applyFont="1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right"/>
      <protection locked="0"/>
    </xf>
    <xf numFmtId="49" fontId="30" fillId="0" borderId="4" xfId="0" applyNumberFormat="1" applyFont="1" applyBorder="1" applyAlignment="1" applyProtection="1">
      <alignment horizontal="justify" vertical="center" wrapText="1"/>
      <protection locked="0"/>
    </xf>
    <xf numFmtId="49" fontId="21" fillId="0" borderId="5" xfId="0" applyNumberFormat="1" applyFont="1" applyBorder="1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justify" wrapText="1"/>
    </xf>
    <xf numFmtId="0" fontId="12" fillId="0" borderId="5" xfId="0" applyFont="1" applyBorder="1" applyAlignment="1" applyProtection="1">
      <alignment horizontal="justify" wrapText="1"/>
      <protection locked="0"/>
    </xf>
    <xf numFmtId="0" fontId="0" fillId="0" borderId="5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justify"/>
      <protection locked="0"/>
    </xf>
    <xf numFmtId="0" fontId="19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/>
      <protection locked="0"/>
    </xf>
    <xf numFmtId="0" fontId="30" fillId="6" borderId="6" xfId="0" applyFont="1" applyFill="1" applyBorder="1" applyAlignment="1">
      <alignment horizontal="left" wrapText="1"/>
    </xf>
    <xf numFmtId="2" fontId="30" fillId="0" borderId="4" xfId="0" applyNumberFormat="1" applyFont="1" applyBorder="1" applyAlignment="1" applyProtection="1">
      <alignment horizontal="right"/>
      <protection locked="0"/>
    </xf>
    <xf numFmtId="2" fontId="30" fillId="0" borderId="6" xfId="0" applyNumberFormat="1" applyFont="1" applyBorder="1" applyAlignment="1" applyProtection="1">
      <alignment horizontal="right"/>
      <protection locked="0"/>
    </xf>
    <xf numFmtId="0" fontId="30" fillId="0" borderId="5" xfId="0" applyFont="1" applyBorder="1" applyAlignment="1">
      <alignment horizontal="left" vertical="center" wrapText="1"/>
    </xf>
    <xf numFmtId="0" fontId="19" fillId="0" borderId="2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wrapText="1"/>
      <protection locked="0"/>
    </xf>
    <xf numFmtId="2" fontId="21" fillId="0" borderId="1" xfId="0" applyNumberFormat="1" applyFont="1" applyBorder="1" applyAlignment="1" applyProtection="1">
      <alignment horizontal="right" vertical="center" wrapText="1"/>
      <protection locked="0"/>
    </xf>
    <xf numFmtId="166" fontId="21" fillId="0" borderId="1" xfId="0" applyNumberFormat="1" applyFont="1" applyBorder="1" applyAlignment="1" applyProtection="1">
      <alignment vertical="center"/>
      <protection locked="0"/>
    </xf>
    <xf numFmtId="166" fontId="0" fillId="0" borderId="1" xfId="0" applyNumberFormat="1" applyBorder="1" applyProtection="1">
      <protection locked="0"/>
    </xf>
    <xf numFmtId="0" fontId="38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Protection="1"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1" xfId="0" applyNumberFormat="1" applyFont="1" applyBorder="1" applyAlignment="1" applyProtection="1">
      <alignment horizontal="right"/>
      <protection locked="0"/>
    </xf>
    <xf numFmtId="165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Protection="1">
      <protection locked="0"/>
    </xf>
    <xf numFmtId="165" fontId="19" fillId="0" borderId="1" xfId="0" applyNumberFormat="1" applyFont="1" applyBorder="1" applyProtection="1"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horizontal="justify" vertical="center"/>
      <protection locked="0"/>
    </xf>
    <xf numFmtId="0" fontId="38" fillId="0" borderId="1" xfId="0" applyFont="1" applyBorder="1" applyAlignment="1" applyProtection="1">
      <alignment horizontal="justify"/>
      <protection locked="0"/>
    </xf>
    <xf numFmtId="2" fontId="21" fillId="0" borderId="4" xfId="0" applyNumberFormat="1" applyFont="1" applyBorder="1" applyProtection="1">
      <protection locked="0"/>
    </xf>
    <xf numFmtId="165" fontId="19" fillId="0" borderId="4" xfId="0" applyNumberFormat="1" applyFont="1" applyBorder="1" applyProtection="1">
      <protection locked="0"/>
    </xf>
    <xf numFmtId="165" fontId="19" fillId="0" borderId="6" xfId="0" applyNumberFormat="1" applyFont="1" applyBorder="1" applyProtection="1">
      <protection locked="0"/>
    </xf>
    <xf numFmtId="0" fontId="0" fillId="0" borderId="2" xfId="0" applyBorder="1" applyAlignment="1" applyProtection="1">
      <alignment vertical="center"/>
      <protection locked="0"/>
    </xf>
    <xf numFmtId="0" fontId="47" fillId="0" borderId="15" xfId="0" applyFont="1" applyFill="1" applyBorder="1" applyAlignment="1">
      <alignment horizontal="left" vertical="center" wrapText="1"/>
    </xf>
    <xf numFmtId="0" fontId="47" fillId="0" borderId="46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2" xr:uid="{2FF7DD3B-4987-4950-B339-EA070ACE79D9}"/>
    <cellStyle name="Обычный_Посадові_Оклади" xfId="1" xr:uid="{8C30327D-B091-471C-9C32-72718301F818}"/>
  </cellStyles>
  <dxfs count="0"/>
  <tableStyles count="0" defaultTableStyle="TableStyleMedium2" defaultPivotStyle="PivotStyleLight16"/>
  <colors>
    <mruColors>
      <color rgb="FFB2E9F0"/>
      <color rgb="FF96E0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88;&#1080;&#1092;%20&#1064;%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50;&#1054;&#1053;&#1054;&#1052;&#1030;&#1057;&#1058;/&#1058;&#1072;&#1088;&#1080;&#1092;%202017/&#1055;&#1054;&#1041;&#1059;&#1044;&#1048;&#1053;&#1050;&#1054;&#1042;&#1048;&#1049;%20&#1055;&#1051;&#1040;&#1053;%20&#1053;&#1040;%202017%20&#1056;&#1030;&#1050;/&#1090;&#1072;&#1088;&#1080;&#1092;%20&#1064;%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>
        <row r="3">
          <cell r="C3" t="str">
            <v>КП "Житлово-експлуатаційна контора "</v>
          </cell>
        </row>
        <row r="31">
          <cell r="N31">
            <v>0</v>
          </cell>
        </row>
        <row r="32">
          <cell r="N32">
            <v>0</v>
          </cell>
        </row>
        <row r="34">
          <cell r="H34">
            <v>2</v>
          </cell>
        </row>
        <row r="35">
          <cell r="H35">
            <v>2</v>
          </cell>
        </row>
        <row r="36">
          <cell r="H36">
            <v>2</v>
          </cell>
        </row>
        <row r="37">
          <cell r="H37">
            <v>2</v>
          </cell>
        </row>
        <row r="38">
          <cell r="H38">
            <v>2</v>
          </cell>
        </row>
        <row r="39">
          <cell r="H39">
            <v>2</v>
          </cell>
        </row>
        <row r="59">
          <cell r="H59">
            <v>0</v>
          </cell>
        </row>
      </sheetData>
      <sheetData sheetId="1"/>
      <sheetData sheetId="2">
        <row r="10">
          <cell r="A10" t="str">
            <v>№п\п</v>
          </cell>
        </row>
      </sheetData>
      <sheetData sheetId="3"/>
      <sheetData sheetId="4">
        <row r="3">
          <cell r="D3">
            <v>2997.38</v>
          </cell>
        </row>
        <row r="29">
          <cell r="D29">
            <v>218.83</v>
          </cell>
        </row>
        <row r="30">
          <cell r="D30">
            <v>0</v>
          </cell>
        </row>
        <row r="35">
          <cell r="D35">
            <v>1</v>
          </cell>
        </row>
      </sheetData>
      <sheetData sheetId="5"/>
      <sheetData sheetId="6"/>
      <sheetData sheetId="7">
        <row r="33">
          <cell r="D33">
            <v>970</v>
          </cell>
        </row>
        <row r="34">
          <cell r="D34">
            <v>0</v>
          </cell>
        </row>
        <row r="35">
          <cell r="D35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6">
          <cell r="D56">
            <v>0</v>
          </cell>
        </row>
        <row r="57">
          <cell r="D57">
            <v>60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89CA1-D989-4D9E-ABE1-8F4CF29DE0B7}">
  <dimension ref="A2:N109"/>
  <sheetViews>
    <sheetView topLeftCell="A53" zoomScaleNormal="100" workbookViewId="0">
      <selection activeCell="H87" sqref="H87:N87"/>
    </sheetView>
  </sheetViews>
  <sheetFormatPr defaultRowHeight="14.4" x14ac:dyDescent="0.3"/>
  <cols>
    <col min="8" max="8" width="9.6640625" customWidth="1"/>
  </cols>
  <sheetData>
    <row r="2" spans="1:14" x14ac:dyDescent="0.3">
      <c r="A2" s="691" t="s">
        <v>14</v>
      </c>
      <c r="B2" s="691"/>
      <c r="C2" s="691"/>
      <c r="D2" s="691"/>
      <c r="E2" s="691"/>
      <c r="F2" s="691"/>
      <c r="G2" s="691"/>
      <c r="H2" s="691"/>
      <c r="I2" s="691"/>
      <c r="J2" s="691"/>
      <c r="K2" s="691"/>
      <c r="L2" s="691"/>
      <c r="M2" s="691"/>
      <c r="N2" s="691"/>
    </row>
    <row r="3" spans="1:14" x14ac:dyDescent="0.3">
      <c r="A3" s="691"/>
      <c r="B3" s="691"/>
      <c r="C3" s="691"/>
      <c r="D3" s="691"/>
      <c r="E3" s="691"/>
      <c r="F3" s="691"/>
      <c r="G3" s="691"/>
      <c r="H3" s="691"/>
      <c r="I3" s="691"/>
      <c r="J3" s="691"/>
      <c r="K3" s="691"/>
      <c r="L3" s="691"/>
      <c r="M3" s="13"/>
      <c r="N3" s="14"/>
    </row>
    <row r="4" spans="1:14" x14ac:dyDescent="0.3">
      <c r="A4" s="15"/>
      <c r="B4" s="14"/>
      <c r="C4" s="692" t="s">
        <v>15</v>
      </c>
      <c r="D4" s="693"/>
      <c r="E4" s="693"/>
      <c r="F4" s="693"/>
      <c r="G4" s="693"/>
      <c r="H4" s="693"/>
      <c r="I4" s="693"/>
      <c r="J4" s="693"/>
      <c r="K4" s="693"/>
      <c r="L4" s="693"/>
      <c r="M4" s="693"/>
      <c r="N4" s="693"/>
    </row>
    <row r="5" spans="1:14" x14ac:dyDescent="0.3">
      <c r="A5" s="14"/>
      <c r="B5" s="14"/>
      <c r="C5" s="694"/>
      <c r="D5" s="695"/>
      <c r="E5" s="695"/>
      <c r="F5" s="695"/>
      <c r="G5" s="695"/>
      <c r="H5" s="695"/>
      <c r="I5" s="695"/>
      <c r="J5" s="695"/>
      <c r="K5" s="695"/>
      <c r="L5" s="695"/>
      <c r="M5" s="695"/>
      <c r="N5" s="695"/>
    </row>
    <row r="6" spans="1:14" x14ac:dyDescent="0.3">
      <c r="A6" s="14" t="s">
        <v>16</v>
      </c>
      <c r="B6" s="15" t="s">
        <v>17</v>
      </c>
      <c r="C6" s="16"/>
      <c r="D6" s="17" t="s">
        <v>18</v>
      </c>
      <c r="E6" s="696" t="s">
        <v>984</v>
      </c>
      <c r="F6" s="696"/>
      <c r="G6" s="696"/>
      <c r="H6" s="696"/>
      <c r="I6" s="696"/>
      <c r="J6" s="696"/>
      <c r="K6" s="17" t="s">
        <v>19</v>
      </c>
      <c r="L6" s="18" t="s">
        <v>892</v>
      </c>
      <c r="M6" s="17"/>
      <c r="N6" s="14"/>
    </row>
    <row r="7" spans="1:14" x14ac:dyDescent="0.3">
      <c r="A7" s="14"/>
      <c r="B7" s="17"/>
      <c r="C7" s="14"/>
      <c r="D7" s="14"/>
      <c r="E7" s="14"/>
      <c r="F7" s="14"/>
      <c r="G7" s="14"/>
      <c r="H7" s="14"/>
      <c r="I7" s="14"/>
      <c r="J7" s="17"/>
      <c r="K7" s="14"/>
      <c r="L7" s="17" t="s">
        <v>951</v>
      </c>
      <c r="M7" s="14"/>
      <c r="N7" s="14"/>
    </row>
    <row r="8" spans="1:14" ht="28.8" customHeight="1" x14ac:dyDescent="0.3">
      <c r="A8" s="697" t="s">
        <v>20</v>
      </c>
      <c r="B8" s="698"/>
      <c r="C8" s="698"/>
      <c r="D8" s="697" t="s">
        <v>21</v>
      </c>
      <c r="E8" s="699"/>
      <c r="F8" s="699"/>
      <c r="G8" s="117"/>
      <c r="H8" s="118"/>
      <c r="I8" s="111"/>
      <c r="J8" s="119"/>
      <c r="K8" s="112"/>
      <c r="L8" s="117"/>
      <c r="M8" s="120"/>
      <c r="N8" s="120"/>
    </row>
    <row r="9" spans="1:14" x14ac:dyDescent="0.3">
      <c r="A9" s="687" t="s">
        <v>985</v>
      </c>
      <c r="B9" s="688"/>
      <c r="C9" s="689"/>
      <c r="D9" s="690"/>
      <c r="E9" s="690"/>
      <c r="F9" s="690"/>
      <c r="G9" s="113"/>
      <c r="H9" s="113"/>
      <c r="I9" s="113"/>
      <c r="J9" s="113"/>
      <c r="K9" s="114"/>
      <c r="L9" s="115"/>
      <c r="M9" s="116"/>
      <c r="N9" s="116"/>
    </row>
    <row r="10" spans="1:14" x14ac:dyDescent="0.3">
      <c r="A10" s="23"/>
      <c r="B10" s="23"/>
      <c r="C10" s="22"/>
      <c r="D10" s="22"/>
      <c r="E10" s="22"/>
      <c r="F10" s="22"/>
      <c r="G10" s="24"/>
      <c r="H10" s="24"/>
      <c r="I10" s="22"/>
      <c r="J10" s="21"/>
      <c r="K10" s="21"/>
      <c r="L10" s="20"/>
      <c r="M10" s="20"/>
      <c r="N10" s="14"/>
    </row>
    <row r="11" spans="1:14" x14ac:dyDescent="0.3">
      <c r="A11" s="682" t="s">
        <v>108</v>
      </c>
      <c r="B11" s="683"/>
      <c r="C11" s="685" t="s">
        <v>109</v>
      </c>
      <c r="D11" s="685"/>
      <c r="E11" s="685" t="s">
        <v>110</v>
      </c>
      <c r="F11" s="685"/>
      <c r="G11" s="25" t="s">
        <v>111</v>
      </c>
      <c r="H11" s="110" t="s">
        <v>759</v>
      </c>
      <c r="I11" s="110" t="s">
        <v>758</v>
      </c>
      <c r="J11" s="14"/>
      <c r="K11" s="14"/>
      <c r="L11" s="26"/>
      <c r="M11" s="26"/>
      <c r="N11" s="27"/>
    </row>
    <row r="12" spans="1:14" x14ac:dyDescent="0.3">
      <c r="A12" s="684"/>
      <c r="B12" s="683"/>
      <c r="C12" s="686">
        <v>5</v>
      </c>
      <c r="D12" s="686"/>
      <c r="E12" s="686">
        <v>4</v>
      </c>
      <c r="F12" s="686"/>
      <c r="G12" s="28"/>
      <c r="H12" s="679"/>
      <c r="I12" s="679">
        <f>G12*H12</f>
        <v>0</v>
      </c>
      <c r="J12" s="115"/>
      <c r="K12" s="115"/>
      <c r="L12" s="26"/>
      <c r="M12" s="26"/>
      <c r="N12" s="27"/>
    </row>
    <row r="13" spans="1:14" ht="15" thickBot="1" x14ac:dyDescent="0.35">
      <c r="A13" s="121"/>
      <c r="B13" s="121"/>
      <c r="C13" s="122"/>
      <c r="D13" s="122"/>
      <c r="E13" s="123"/>
      <c r="F13" s="123"/>
      <c r="G13" s="123"/>
      <c r="H13" s="115"/>
      <c r="I13" s="115"/>
      <c r="J13" s="115"/>
      <c r="K13" s="115"/>
      <c r="L13" s="26"/>
      <c r="M13" s="26"/>
      <c r="N13" s="27"/>
    </row>
    <row r="14" spans="1:14" ht="79.2" x14ac:dyDescent="0.3">
      <c r="A14" s="711" t="s">
        <v>112</v>
      </c>
      <c r="B14" s="712"/>
      <c r="C14" s="712"/>
      <c r="D14" s="712"/>
      <c r="E14" s="712"/>
      <c r="F14" s="712"/>
      <c r="G14" s="712"/>
      <c r="H14" s="712"/>
      <c r="I14" s="713"/>
      <c r="J14" s="714" t="s">
        <v>113</v>
      </c>
      <c r="K14" s="715"/>
      <c r="L14" s="30" t="s">
        <v>114</v>
      </c>
      <c r="M14" s="30" t="s">
        <v>115</v>
      </c>
      <c r="N14" s="31" t="s">
        <v>116</v>
      </c>
    </row>
    <row r="15" spans="1:14" x14ac:dyDescent="0.3">
      <c r="A15" s="700" t="s">
        <v>117</v>
      </c>
      <c r="B15" s="705"/>
      <c r="C15" s="705"/>
      <c r="D15" s="705"/>
      <c r="E15" s="705"/>
      <c r="F15" s="705"/>
      <c r="G15" s="705"/>
      <c r="H15" s="705"/>
      <c r="I15" s="706"/>
      <c r="J15" s="716">
        <v>62</v>
      </c>
      <c r="K15" s="717"/>
      <c r="L15" s="32">
        <v>0</v>
      </c>
      <c r="M15" s="32">
        <v>0</v>
      </c>
      <c r="N15" s="33">
        <f>J15+L15+M15</f>
        <v>62</v>
      </c>
    </row>
    <row r="16" spans="1:14" x14ac:dyDescent="0.3">
      <c r="A16" s="700" t="s">
        <v>118</v>
      </c>
      <c r="B16" s="701"/>
      <c r="C16" s="701"/>
      <c r="D16" s="701"/>
      <c r="E16" s="701"/>
      <c r="F16" s="701"/>
      <c r="G16" s="701"/>
      <c r="H16" s="701"/>
      <c r="I16" s="702"/>
      <c r="J16" s="703">
        <v>3207.38</v>
      </c>
      <c r="K16" s="704"/>
      <c r="L16" s="34">
        <v>0</v>
      </c>
      <c r="M16" s="34">
        <v>0</v>
      </c>
      <c r="N16" s="35">
        <f>J16+L16+M16</f>
        <v>3207.38</v>
      </c>
    </row>
    <row r="17" spans="1:14" x14ac:dyDescent="0.3">
      <c r="A17" s="700" t="s">
        <v>119</v>
      </c>
      <c r="B17" s="705"/>
      <c r="C17" s="705"/>
      <c r="D17" s="705"/>
      <c r="E17" s="705"/>
      <c r="F17" s="705"/>
      <c r="G17" s="705"/>
      <c r="H17" s="705"/>
      <c r="I17" s="706"/>
      <c r="J17" s="703"/>
      <c r="K17" s="704"/>
      <c r="L17" s="34">
        <v>0</v>
      </c>
      <c r="M17" s="34">
        <v>0</v>
      </c>
      <c r="N17" s="35">
        <f>J17+L17+M17</f>
        <v>0</v>
      </c>
    </row>
    <row r="18" spans="1:14" ht="15" thickBot="1" x14ac:dyDescent="0.35">
      <c r="A18" s="707" t="s">
        <v>120</v>
      </c>
      <c r="B18" s="708"/>
      <c r="C18" s="708"/>
      <c r="D18" s="708"/>
      <c r="E18" s="708"/>
      <c r="F18" s="708"/>
      <c r="G18" s="708"/>
      <c r="H18" s="708"/>
      <c r="I18" s="708"/>
      <c r="J18" s="709"/>
      <c r="K18" s="710"/>
      <c r="L18" s="733"/>
      <c r="M18" s="734"/>
      <c r="N18" s="36">
        <f>N16</f>
        <v>3207.38</v>
      </c>
    </row>
    <row r="19" spans="1:14" x14ac:dyDescent="0.3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1:14" hidden="1" x14ac:dyDescent="0.3">
      <c r="A20" s="735" t="s">
        <v>121</v>
      </c>
      <c r="B20" s="736"/>
      <c r="C20" s="736"/>
      <c r="D20" s="736"/>
      <c r="E20" s="736"/>
      <c r="F20" s="736"/>
      <c r="G20" s="736"/>
      <c r="H20" s="736"/>
      <c r="I20" s="736"/>
      <c r="J20" s="736"/>
      <c r="K20" s="736"/>
      <c r="L20" s="736"/>
      <c r="M20" s="736"/>
      <c r="N20" s="737"/>
    </row>
    <row r="21" spans="1:14" hidden="1" x14ac:dyDescent="0.3">
      <c r="A21" s="738" t="s">
        <v>23</v>
      </c>
      <c r="B21" s="739"/>
      <c r="C21" s="739"/>
      <c r="D21" s="739"/>
      <c r="E21" s="739"/>
      <c r="F21" s="740"/>
      <c r="G21" s="682" t="s">
        <v>24</v>
      </c>
      <c r="H21" s="744"/>
      <c r="I21" s="744"/>
      <c r="J21" s="682" t="s">
        <v>25</v>
      </c>
      <c r="K21" s="744"/>
      <c r="L21" s="744"/>
      <c r="M21" s="744" t="s">
        <v>22</v>
      </c>
      <c r="N21" s="745"/>
    </row>
    <row r="22" spans="1:14" hidden="1" x14ac:dyDescent="0.3">
      <c r="A22" s="741"/>
      <c r="B22" s="742"/>
      <c r="C22" s="742"/>
      <c r="D22" s="742"/>
      <c r="E22" s="742"/>
      <c r="F22" s="743"/>
      <c r="G22" s="746"/>
      <c r="H22" s="746"/>
      <c r="I22" s="746"/>
      <c r="J22" s="746">
        <v>0</v>
      </c>
      <c r="K22" s="746"/>
      <c r="L22" s="746"/>
      <c r="M22" s="746">
        <f>G22+J22</f>
        <v>0</v>
      </c>
      <c r="N22" s="747"/>
    </row>
    <row r="23" spans="1:14" hidden="1" x14ac:dyDescent="0.3">
      <c r="A23" s="718" t="s">
        <v>26</v>
      </c>
      <c r="B23" s="719"/>
      <c r="C23" s="719"/>
      <c r="D23" s="719"/>
      <c r="E23" s="719"/>
      <c r="F23" s="720"/>
      <c r="G23" s="721"/>
      <c r="H23" s="722"/>
      <c r="I23" s="723"/>
      <c r="J23" s="721"/>
      <c r="K23" s="722"/>
      <c r="L23" s="723"/>
      <c r="M23" s="34">
        <f>G23+J23</f>
        <v>0</v>
      </c>
      <c r="N23" s="38">
        <v>0</v>
      </c>
    </row>
    <row r="24" spans="1:14" hidden="1" x14ac:dyDescent="0.3">
      <c r="A24" s="724" t="s">
        <v>27</v>
      </c>
      <c r="B24" s="725"/>
      <c r="C24" s="725"/>
      <c r="D24" s="725"/>
      <c r="E24" s="725"/>
      <c r="F24" s="725"/>
      <c r="G24" s="725"/>
      <c r="H24" s="725"/>
      <c r="I24" s="725"/>
      <c r="J24" s="725"/>
      <c r="K24" s="725"/>
      <c r="L24" s="725"/>
      <c r="M24" s="34"/>
      <c r="N24" s="38">
        <v>0</v>
      </c>
    </row>
    <row r="25" spans="1:14" hidden="1" x14ac:dyDescent="0.3">
      <c r="A25" s="726" t="s">
        <v>28</v>
      </c>
      <c r="B25" s="727"/>
      <c r="C25" s="727"/>
      <c r="D25" s="727"/>
      <c r="E25" s="727"/>
      <c r="F25" s="727"/>
      <c r="G25" s="728"/>
      <c r="H25" s="729" t="s">
        <v>29</v>
      </c>
      <c r="I25" s="730"/>
      <c r="J25" s="731" t="s">
        <v>30</v>
      </c>
      <c r="K25" s="732"/>
      <c r="L25" s="39" t="s">
        <v>31</v>
      </c>
      <c r="M25" s="748" t="s">
        <v>32</v>
      </c>
      <c r="N25" s="749"/>
    </row>
    <row r="26" spans="1:14" hidden="1" x14ac:dyDescent="0.3">
      <c r="A26" s="750" t="s">
        <v>33</v>
      </c>
      <c r="B26" s="727"/>
      <c r="C26" s="727"/>
      <c r="D26" s="727"/>
      <c r="E26" s="727"/>
      <c r="F26" s="727"/>
      <c r="G26" s="728"/>
      <c r="H26" s="751">
        <v>2</v>
      </c>
      <c r="I26" s="752"/>
      <c r="J26" s="753" t="s">
        <v>34</v>
      </c>
      <c r="K26" s="753"/>
      <c r="L26" s="40"/>
      <c r="M26" s="746"/>
      <c r="N26" s="754"/>
    </row>
    <row r="27" spans="1:14" hidden="1" x14ac:dyDescent="0.3">
      <c r="A27" s="750" t="s">
        <v>35</v>
      </c>
      <c r="B27" s="727"/>
      <c r="C27" s="727"/>
      <c r="D27" s="727"/>
      <c r="E27" s="727"/>
      <c r="F27" s="727"/>
      <c r="G27" s="728"/>
      <c r="H27" s="751">
        <v>2</v>
      </c>
      <c r="I27" s="752"/>
      <c r="J27" s="753" t="s">
        <v>34</v>
      </c>
      <c r="K27" s="753"/>
      <c r="L27" s="40"/>
      <c r="M27" s="746"/>
      <c r="N27" s="754"/>
    </row>
    <row r="28" spans="1:14" hidden="1" x14ac:dyDescent="0.3">
      <c r="A28" s="750" t="s">
        <v>36</v>
      </c>
      <c r="B28" s="727"/>
      <c r="C28" s="727"/>
      <c r="D28" s="727"/>
      <c r="E28" s="727"/>
      <c r="F28" s="727"/>
      <c r="G28" s="728"/>
      <c r="H28" s="751">
        <v>2</v>
      </c>
      <c r="I28" s="752"/>
      <c r="J28" s="753" t="s">
        <v>34</v>
      </c>
      <c r="K28" s="753"/>
      <c r="L28" s="40"/>
      <c r="M28" s="746"/>
      <c r="N28" s="754"/>
    </row>
    <row r="29" spans="1:14" hidden="1" x14ac:dyDescent="0.3">
      <c r="A29" s="750" t="s">
        <v>37</v>
      </c>
      <c r="B29" s="727"/>
      <c r="C29" s="727"/>
      <c r="D29" s="727"/>
      <c r="E29" s="727"/>
      <c r="F29" s="727"/>
      <c r="G29" s="728"/>
      <c r="H29" s="751">
        <v>2</v>
      </c>
      <c r="I29" s="752"/>
      <c r="J29" s="753" t="s">
        <v>34</v>
      </c>
      <c r="K29" s="753"/>
      <c r="L29" s="40"/>
      <c r="M29" s="746"/>
      <c r="N29" s="754"/>
    </row>
    <row r="30" spans="1:14" hidden="1" x14ac:dyDescent="0.3">
      <c r="A30" s="750" t="s">
        <v>38</v>
      </c>
      <c r="B30" s="727"/>
      <c r="C30" s="727"/>
      <c r="D30" s="727"/>
      <c r="E30" s="727"/>
      <c r="F30" s="727"/>
      <c r="G30" s="728"/>
      <c r="H30" s="751">
        <v>2</v>
      </c>
      <c r="I30" s="752"/>
      <c r="J30" s="753" t="s">
        <v>34</v>
      </c>
      <c r="K30" s="753"/>
      <c r="L30" s="40"/>
      <c r="M30" s="746"/>
      <c r="N30" s="754"/>
    </row>
    <row r="31" spans="1:14" hidden="1" x14ac:dyDescent="0.3">
      <c r="A31" s="750" t="s">
        <v>39</v>
      </c>
      <c r="B31" s="727"/>
      <c r="C31" s="727"/>
      <c r="D31" s="727"/>
      <c r="E31" s="727"/>
      <c r="F31" s="727"/>
      <c r="G31" s="728"/>
      <c r="H31" s="751">
        <v>2</v>
      </c>
      <c r="I31" s="752"/>
      <c r="J31" s="753" t="s">
        <v>34</v>
      </c>
      <c r="K31" s="753"/>
      <c r="L31" s="40"/>
      <c r="M31" s="746"/>
      <c r="N31" s="754"/>
    </row>
    <row r="32" spans="1:14" hidden="1" x14ac:dyDescent="0.3">
      <c r="A32" s="750" t="s">
        <v>40</v>
      </c>
      <c r="B32" s="727"/>
      <c r="C32" s="727"/>
      <c r="D32" s="727"/>
      <c r="E32" s="727"/>
      <c r="F32" s="727"/>
      <c r="G32" s="728"/>
      <c r="H32" s="751">
        <v>2</v>
      </c>
      <c r="I32" s="752"/>
      <c r="J32" s="753" t="s">
        <v>34</v>
      </c>
      <c r="K32" s="753"/>
      <c r="L32" s="40"/>
      <c r="M32" s="746"/>
      <c r="N32" s="754"/>
    </row>
    <row r="33" spans="1:14" ht="15" hidden="1" thickBot="1" x14ac:dyDescent="0.35">
      <c r="A33" s="772" t="s">
        <v>41</v>
      </c>
      <c r="B33" s="773"/>
      <c r="C33" s="773"/>
      <c r="D33" s="773"/>
      <c r="E33" s="773"/>
      <c r="F33" s="773"/>
      <c r="G33" s="773"/>
      <c r="H33" s="773"/>
      <c r="I33" s="773"/>
      <c r="J33" s="773"/>
      <c r="K33" s="773"/>
      <c r="L33" s="773"/>
      <c r="M33" s="773"/>
      <c r="N33" s="774"/>
    </row>
    <row r="34" spans="1:14" hidden="1" x14ac:dyDescent="0.3">
      <c r="A34" s="775" t="s">
        <v>42</v>
      </c>
      <c r="B34" s="755"/>
      <c r="C34" s="776"/>
      <c r="D34" s="776"/>
      <c r="E34" s="755" t="s">
        <v>43</v>
      </c>
      <c r="F34" s="755"/>
      <c r="G34" s="41"/>
      <c r="H34" s="755" t="s">
        <v>44</v>
      </c>
      <c r="I34" s="755"/>
      <c r="J34" s="777"/>
      <c r="K34" s="778"/>
      <c r="L34" s="755" t="s">
        <v>45</v>
      </c>
      <c r="M34" s="755"/>
      <c r="N34" s="42"/>
    </row>
    <row r="35" spans="1:14" hidden="1" x14ac:dyDescent="0.3">
      <c r="A35" s="756" t="s">
        <v>46</v>
      </c>
      <c r="B35" s="757"/>
      <c r="C35" s="757"/>
      <c r="D35" s="757"/>
      <c r="E35" s="758"/>
      <c r="F35" s="759"/>
      <c r="G35" s="43" t="s">
        <v>47</v>
      </c>
      <c r="H35" s="760"/>
      <c r="I35" s="761"/>
      <c r="J35" s="762" t="s">
        <v>48</v>
      </c>
      <c r="K35" s="763"/>
      <c r="L35" s="763"/>
      <c r="M35" s="764"/>
      <c r="N35" s="44"/>
    </row>
    <row r="36" spans="1:14" hidden="1" x14ac:dyDescent="0.3">
      <c r="A36" s="765" t="s">
        <v>49</v>
      </c>
      <c r="B36" s="766"/>
      <c r="C36" s="767"/>
      <c r="D36" s="768"/>
      <c r="E36" s="769" t="s">
        <v>50</v>
      </c>
      <c r="F36" s="769"/>
      <c r="G36" s="770"/>
      <c r="H36" s="770"/>
      <c r="I36" s="771"/>
      <c r="J36" s="771"/>
      <c r="K36" s="771"/>
      <c r="L36" s="45"/>
      <c r="M36" s="46" t="s">
        <v>51</v>
      </c>
      <c r="N36" s="47"/>
    </row>
    <row r="37" spans="1:14" ht="15" hidden="1" thickBot="1" x14ac:dyDescent="0.35">
      <c r="A37" s="782" t="s">
        <v>52</v>
      </c>
      <c r="B37" s="783"/>
      <c r="C37" s="783"/>
      <c r="D37" s="784"/>
      <c r="E37" s="785">
        <v>0</v>
      </c>
      <c r="F37" s="786"/>
      <c r="G37" s="787" t="s">
        <v>53</v>
      </c>
      <c r="H37" s="783"/>
      <c r="I37" s="783"/>
      <c r="J37" s="788">
        <v>0</v>
      </c>
      <c r="K37" s="789"/>
      <c r="L37" s="790" t="s">
        <v>54</v>
      </c>
      <c r="M37" s="784"/>
      <c r="N37" s="140"/>
    </row>
    <row r="38" spans="1:14" x14ac:dyDescent="0.3">
      <c r="A38" s="906" t="s">
        <v>122</v>
      </c>
      <c r="B38" s="906"/>
      <c r="C38" s="906"/>
      <c r="D38" s="906"/>
      <c r="E38" s="906"/>
      <c r="F38" s="906"/>
      <c r="G38" s="906"/>
      <c r="H38" s="906"/>
      <c r="I38" s="906"/>
      <c r="J38" s="906"/>
      <c r="K38" s="906"/>
      <c r="L38" s="906"/>
      <c r="M38" s="906"/>
      <c r="N38" s="906"/>
    </row>
    <row r="39" spans="1:14" x14ac:dyDescent="0.3">
      <c r="A39" s="904" t="s">
        <v>123</v>
      </c>
      <c r="B39" s="904"/>
      <c r="C39" s="904"/>
      <c r="D39" s="904"/>
      <c r="E39" s="904"/>
      <c r="F39" s="904"/>
      <c r="G39" s="904"/>
      <c r="H39" s="904"/>
      <c r="I39" s="124"/>
      <c r="J39" s="124"/>
      <c r="K39" s="780"/>
      <c r="L39" s="780"/>
      <c r="M39" s="691"/>
      <c r="N39" s="781"/>
    </row>
    <row r="40" spans="1:14" x14ac:dyDescent="0.3">
      <c r="A40" s="905"/>
      <c r="B40" s="905"/>
      <c r="C40" s="905"/>
      <c r="D40" s="905"/>
      <c r="E40" s="905"/>
      <c r="F40" s="905"/>
      <c r="G40" s="905"/>
      <c r="H40" s="905"/>
      <c r="I40" s="138"/>
      <c r="J40" s="139"/>
      <c r="K40" s="125"/>
      <c r="L40" s="125"/>
      <c r="M40" s="126"/>
      <c r="N40" s="125"/>
    </row>
    <row r="41" spans="1:14" x14ac:dyDescent="0.3">
      <c r="A41" s="681" t="s">
        <v>124</v>
      </c>
      <c r="B41" s="779"/>
      <c r="C41" s="779"/>
      <c r="D41" s="779"/>
      <c r="E41" s="779"/>
      <c r="F41" s="779"/>
      <c r="G41" s="779"/>
      <c r="H41" s="48">
        <v>500</v>
      </c>
      <c r="I41" s="136"/>
      <c r="J41" s="136"/>
      <c r="K41" s="127"/>
      <c r="L41" s="127"/>
      <c r="M41" s="128"/>
      <c r="N41" s="127"/>
    </row>
    <row r="42" spans="1:14" x14ac:dyDescent="0.3">
      <c r="A42" s="681" t="s">
        <v>125</v>
      </c>
      <c r="B42" s="779"/>
      <c r="C42" s="779"/>
      <c r="D42" s="779"/>
      <c r="E42" s="779"/>
      <c r="F42" s="779"/>
      <c r="G42" s="779"/>
      <c r="H42" s="48"/>
      <c r="I42" s="136"/>
      <c r="J42" s="136"/>
      <c r="K42" s="127"/>
      <c r="L42" s="127"/>
      <c r="M42" s="128"/>
      <c r="N42" s="127"/>
    </row>
    <row r="43" spans="1:14" x14ac:dyDescent="0.3">
      <c r="A43" s="681" t="s">
        <v>126</v>
      </c>
      <c r="B43" s="779"/>
      <c r="C43" s="779"/>
      <c r="D43" s="779"/>
      <c r="E43" s="779"/>
      <c r="F43" s="779"/>
      <c r="G43" s="779"/>
      <c r="H43" s="48"/>
      <c r="I43" s="136"/>
      <c r="J43" s="136"/>
      <c r="K43" s="127"/>
      <c r="L43" s="127"/>
      <c r="M43" s="128"/>
      <c r="N43" s="127"/>
    </row>
    <row r="44" spans="1:14" x14ac:dyDescent="0.3">
      <c r="A44" s="681" t="s">
        <v>127</v>
      </c>
      <c r="B44" s="779"/>
      <c r="C44" s="779"/>
      <c r="D44" s="779"/>
      <c r="E44" s="779"/>
      <c r="F44" s="779"/>
      <c r="G44" s="779"/>
      <c r="H44" s="134">
        <v>70</v>
      </c>
      <c r="I44" s="129"/>
      <c r="J44" s="129"/>
      <c r="K44" s="136"/>
      <c r="L44" s="136"/>
      <c r="M44" s="137"/>
      <c r="N44" s="129"/>
    </row>
    <row r="45" spans="1:14" x14ac:dyDescent="0.3">
      <c r="A45" s="810" t="s">
        <v>972</v>
      </c>
      <c r="B45" s="705"/>
      <c r="C45" s="705"/>
      <c r="D45" s="705"/>
      <c r="E45" s="705"/>
      <c r="F45" s="705"/>
      <c r="G45" s="706"/>
      <c r="H45" s="134">
        <v>200</v>
      </c>
      <c r="I45" s="129"/>
      <c r="J45" s="129"/>
      <c r="K45" s="136"/>
      <c r="L45" s="136"/>
      <c r="M45" s="137"/>
      <c r="N45" s="129"/>
    </row>
    <row r="46" spans="1:14" x14ac:dyDescent="0.3">
      <c r="A46" s="810" t="s">
        <v>973</v>
      </c>
      <c r="B46" s="705"/>
      <c r="C46" s="705"/>
      <c r="D46" s="705"/>
      <c r="E46" s="705"/>
      <c r="F46" s="705"/>
      <c r="G46" s="706"/>
      <c r="H46" s="134">
        <v>400</v>
      </c>
      <c r="I46" s="129"/>
      <c r="J46" s="129"/>
      <c r="K46" s="136"/>
      <c r="L46" s="136"/>
      <c r="M46" s="137"/>
      <c r="N46" s="129"/>
    </row>
    <row r="47" spans="1:14" x14ac:dyDescent="0.3">
      <c r="A47" s="810" t="s">
        <v>974</v>
      </c>
      <c r="B47" s="705"/>
      <c r="C47" s="705"/>
      <c r="D47" s="705"/>
      <c r="E47" s="705"/>
      <c r="F47" s="705"/>
      <c r="G47" s="706"/>
      <c r="H47" s="134">
        <v>430</v>
      </c>
      <c r="I47" s="129"/>
      <c r="J47" s="129"/>
      <c r="K47" s="136"/>
      <c r="L47" s="136"/>
      <c r="M47" s="137"/>
      <c r="N47" s="129"/>
    </row>
    <row r="48" spans="1:14" x14ac:dyDescent="0.3">
      <c r="A48" s="810" t="s">
        <v>975</v>
      </c>
      <c r="B48" s="705"/>
      <c r="C48" s="705"/>
      <c r="D48" s="705"/>
      <c r="E48" s="705"/>
      <c r="F48" s="705"/>
      <c r="G48" s="706"/>
      <c r="H48" s="134">
        <v>7</v>
      </c>
      <c r="I48" s="129"/>
      <c r="J48" s="129"/>
      <c r="K48" s="136"/>
      <c r="L48" s="136"/>
      <c r="M48" s="137"/>
      <c r="N48" s="129"/>
    </row>
    <row r="49" spans="1:14" x14ac:dyDescent="0.3">
      <c r="A49" s="810" t="s">
        <v>976</v>
      </c>
      <c r="B49" s="705"/>
      <c r="C49" s="705"/>
      <c r="D49" s="705"/>
      <c r="E49" s="705"/>
      <c r="F49" s="705"/>
      <c r="G49" s="706"/>
      <c r="H49" s="134">
        <v>80</v>
      </c>
      <c r="I49" s="129"/>
      <c r="J49" s="129"/>
      <c r="K49" s="136"/>
      <c r="L49" s="136"/>
      <c r="M49" s="137"/>
      <c r="N49" s="129"/>
    </row>
    <row r="50" spans="1:14" x14ac:dyDescent="0.3">
      <c r="A50" s="672"/>
      <c r="B50" s="670"/>
      <c r="C50" s="670"/>
      <c r="D50" s="670"/>
      <c r="E50" s="670"/>
      <c r="F50" s="670"/>
      <c r="G50" s="671"/>
      <c r="H50" s="134"/>
      <c r="I50" s="129"/>
      <c r="J50" s="129"/>
      <c r="K50" s="136"/>
      <c r="L50" s="136"/>
      <c r="M50" s="137"/>
      <c r="N50" s="129"/>
    </row>
    <row r="51" spans="1:14" x14ac:dyDescent="0.3">
      <c r="A51" s="905" t="s">
        <v>128</v>
      </c>
      <c r="B51" s="905"/>
      <c r="C51" s="905"/>
      <c r="D51" s="905"/>
      <c r="E51" s="905"/>
      <c r="F51" s="905"/>
      <c r="G51" s="905"/>
      <c r="H51" s="905"/>
      <c r="I51" s="37"/>
      <c r="J51" s="37"/>
      <c r="K51" s="135"/>
      <c r="L51" s="135"/>
      <c r="M51" s="119"/>
      <c r="N51" s="112"/>
    </row>
    <row r="52" spans="1:14" x14ac:dyDescent="0.3">
      <c r="A52" s="905"/>
      <c r="B52" s="905"/>
      <c r="C52" s="905"/>
      <c r="D52" s="905"/>
      <c r="E52" s="905"/>
      <c r="F52" s="905"/>
      <c r="G52" s="905"/>
      <c r="H52" s="905"/>
      <c r="I52" s="808"/>
      <c r="J52" s="808"/>
      <c r="K52" s="130"/>
      <c r="L52" s="130"/>
      <c r="M52" s="131"/>
      <c r="N52" s="130"/>
    </row>
    <row r="53" spans="1:14" x14ac:dyDescent="0.3">
      <c r="A53" s="681" t="s">
        <v>129</v>
      </c>
      <c r="B53" s="779"/>
      <c r="C53" s="779"/>
      <c r="D53" s="779"/>
      <c r="E53" s="779"/>
      <c r="F53" s="779"/>
      <c r="G53" s="779"/>
      <c r="H53" s="48">
        <v>3000</v>
      </c>
      <c r="I53" s="809"/>
      <c r="J53" s="809"/>
      <c r="K53" s="128"/>
      <c r="L53" s="132"/>
      <c r="M53" s="133"/>
      <c r="N53" s="127"/>
    </row>
    <row r="54" spans="1:14" x14ac:dyDescent="0.3">
      <c r="A54" s="791" t="s">
        <v>130</v>
      </c>
      <c r="B54" s="792"/>
      <c r="C54" s="792"/>
      <c r="D54" s="792"/>
      <c r="E54" s="792"/>
      <c r="F54" s="792"/>
      <c r="G54" s="793"/>
      <c r="H54" s="797" t="s">
        <v>131</v>
      </c>
      <c r="I54" s="798"/>
      <c r="J54" s="798"/>
      <c r="K54" s="799"/>
      <c r="L54" s="800" t="s">
        <v>132</v>
      </c>
      <c r="M54" s="801"/>
      <c r="N54" s="802"/>
    </row>
    <row r="55" spans="1:14" ht="15" thickBot="1" x14ac:dyDescent="0.35">
      <c r="A55" s="794"/>
      <c r="B55" s="795"/>
      <c r="C55" s="795"/>
      <c r="D55" s="795"/>
      <c r="E55" s="795"/>
      <c r="F55" s="795"/>
      <c r="G55" s="796"/>
      <c r="H55" s="803">
        <v>0</v>
      </c>
      <c r="I55" s="804"/>
      <c r="J55" s="804"/>
      <c r="K55" s="805"/>
      <c r="L55" s="806">
        <v>2500</v>
      </c>
      <c r="M55" s="806"/>
      <c r="N55" s="807"/>
    </row>
    <row r="56" spans="1:14" x14ac:dyDescent="0.3">
      <c r="A56" s="829" t="s">
        <v>133</v>
      </c>
      <c r="B56" s="830"/>
      <c r="C56" s="830"/>
      <c r="D56" s="830"/>
      <c r="E56" s="830"/>
      <c r="F56" s="831"/>
      <c r="G56" s="49">
        <v>9</v>
      </c>
      <c r="H56" s="832" t="s">
        <v>134</v>
      </c>
      <c r="I56" s="833"/>
      <c r="J56" s="833"/>
      <c r="K56" s="833"/>
      <c r="L56" s="833"/>
      <c r="M56" s="834"/>
      <c r="N56" s="49">
        <v>16</v>
      </c>
    </row>
    <row r="57" spans="1:14" hidden="1" x14ac:dyDescent="0.3">
      <c r="A57" s="20"/>
      <c r="B57" s="20"/>
      <c r="C57" s="691" t="s">
        <v>55</v>
      </c>
      <c r="D57" s="811"/>
      <c r="E57" s="811"/>
      <c r="F57" s="811"/>
      <c r="G57" s="811"/>
      <c r="H57" s="811"/>
      <c r="I57" s="811"/>
      <c r="J57" s="811"/>
      <c r="K57" s="811"/>
      <c r="L57" s="811"/>
      <c r="M57" s="20"/>
      <c r="N57" s="14"/>
    </row>
    <row r="58" spans="1:14" ht="15" hidden="1" thickBot="1" x14ac:dyDescent="0.35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14"/>
    </row>
    <row r="59" spans="1:14" ht="15" hidden="1" thickBot="1" x14ac:dyDescent="0.35">
      <c r="A59" s="812" t="s">
        <v>56</v>
      </c>
      <c r="B59" s="813"/>
      <c r="C59" s="813"/>
      <c r="D59" s="813"/>
      <c r="E59" s="814"/>
      <c r="F59" s="815" t="s">
        <v>57</v>
      </c>
      <c r="G59" s="816"/>
      <c r="H59" s="816"/>
      <c r="I59" s="816"/>
      <c r="J59" s="816"/>
      <c r="K59" s="817"/>
      <c r="L59" s="817"/>
      <c r="M59" s="817"/>
      <c r="N59" s="818"/>
    </row>
    <row r="60" spans="1:14" hidden="1" x14ac:dyDescent="0.3">
      <c r="A60" s="819" t="s">
        <v>58</v>
      </c>
      <c r="B60" s="820"/>
      <c r="C60" s="820"/>
      <c r="D60" s="820"/>
      <c r="E60" s="50"/>
      <c r="F60" s="821" t="s">
        <v>59</v>
      </c>
      <c r="G60" s="822"/>
      <c r="H60" s="824" t="s">
        <v>60</v>
      </c>
      <c r="I60" s="824"/>
      <c r="J60" s="51"/>
      <c r="K60" s="825" t="s">
        <v>61</v>
      </c>
      <c r="L60" s="826"/>
      <c r="M60" s="826"/>
      <c r="N60" s="52">
        <v>1360</v>
      </c>
    </row>
    <row r="61" spans="1:14" hidden="1" x14ac:dyDescent="0.3">
      <c r="A61" s="827" t="s">
        <v>62</v>
      </c>
      <c r="B61" s="828"/>
      <c r="C61" s="828"/>
      <c r="D61" s="828"/>
      <c r="E61" s="53"/>
      <c r="F61" s="823"/>
      <c r="G61" s="822"/>
      <c r="H61" s="849" t="s">
        <v>63</v>
      </c>
      <c r="I61" s="849"/>
      <c r="J61" s="54"/>
      <c r="K61" s="850" t="s">
        <v>64</v>
      </c>
      <c r="L61" s="851"/>
      <c r="M61" s="851"/>
      <c r="N61" s="52"/>
    </row>
    <row r="62" spans="1:14" hidden="1" x14ac:dyDescent="0.3">
      <c r="A62" s="810" t="s">
        <v>65</v>
      </c>
      <c r="B62" s="852"/>
      <c r="C62" s="852"/>
      <c r="D62" s="852"/>
      <c r="E62" s="55">
        <v>1</v>
      </c>
      <c r="F62" s="853" t="s">
        <v>66</v>
      </c>
      <c r="G62" s="854"/>
      <c r="H62" s="56" t="s">
        <v>67</v>
      </c>
      <c r="I62" s="29"/>
      <c r="J62" s="57"/>
      <c r="K62" s="835" t="s">
        <v>68</v>
      </c>
      <c r="L62" s="851"/>
      <c r="M62" s="851"/>
      <c r="N62" s="19">
        <v>213</v>
      </c>
    </row>
    <row r="63" spans="1:14" hidden="1" x14ac:dyDescent="0.3">
      <c r="A63" s="810" t="s">
        <v>69</v>
      </c>
      <c r="B63" s="852"/>
      <c r="C63" s="852"/>
      <c r="D63" s="852"/>
      <c r="E63" s="55"/>
      <c r="F63" s="855"/>
      <c r="G63" s="856"/>
      <c r="H63" s="56" t="s">
        <v>70</v>
      </c>
      <c r="I63" s="58"/>
      <c r="J63" s="59"/>
      <c r="K63" s="835" t="s">
        <v>71</v>
      </c>
      <c r="L63" s="826"/>
      <c r="M63" s="826"/>
      <c r="N63" s="19">
        <v>48</v>
      </c>
    </row>
    <row r="64" spans="1:14" hidden="1" x14ac:dyDescent="0.3">
      <c r="A64" s="20"/>
      <c r="B64" s="27"/>
      <c r="C64" s="27"/>
      <c r="D64" s="27"/>
      <c r="E64" s="60"/>
      <c r="F64" s="61"/>
      <c r="G64" s="61"/>
      <c r="H64" s="20"/>
      <c r="I64" s="20"/>
      <c r="J64" s="17"/>
      <c r="K64" s="835" t="s">
        <v>72</v>
      </c>
      <c r="L64" s="826"/>
      <c r="M64" s="826"/>
      <c r="N64" s="19">
        <v>2</v>
      </c>
    </row>
    <row r="65" spans="1:14" ht="15" hidden="1" thickBot="1" x14ac:dyDescent="0.35">
      <c r="A65" s="20"/>
      <c r="B65" s="27"/>
      <c r="C65" s="27"/>
      <c r="D65" s="27"/>
      <c r="E65" s="20"/>
      <c r="F65" s="20"/>
      <c r="G65" s="20"/>
      <c r="H65" s="20"/>
      <c r="I65" s="20"/>
      <c r="J65" s="20"/>
      <c r="K65" s="20"/>
      <c r="L65" s="20"/>
      <c r="M65" s="20"/>
      <c r="N65" s="14"/>
    </row>
    <row r="66" spans="1:14" ht="15" hidden="1" thickBot="1" x14ac:dyDescent="0.35">
      <c r="A66" s="812" t="s">
        <v>56</v>
      </c>
      <c r="B66" s="813"/>
      <c r="C66" s="813"/>
      <c r="D66" s="813"/>
      <c r="E66" s="813"/>
      <c r="F66" s="836" t="s">
        <v>73</v>
      </c>
      <c r="G66" s="837"/>
      <c r="H66" s="837"/>
      <c r="I66" s="837"/>
      <c r="J66" s="816"/>
      <c r="K66" s="838"/>
      <c r="L66" s="838"/>
      <c r="M66" s="838"/>
      <c r="N66" s="839"/>
    </row>
    <row r="67" spans="1:14" hidden="1" x14ac:dyDescent="0.3">
      <c r="A67" s="840" t="s">
        <v>74</v>
      </c>
      <c r="B67" s="841"/>
      <c r="C67" s="841"/>
      <c r="D67" s="842"/>
      <c r="E67" s="62"/>
      <c r="F67" s="681" t="s">
        <v>75</v>
      </c>
      <c r="G67" s="843"/>
      <c r="H67" s="843"/>
      <c r="I67" s="63">
        <v>0</v>
      </c>
      <c r="J67" s="14" t="s">
        <v>76</v>
      </c>
      <c r="K67" s="20"/>
      <c r="L67" s="20"/>
      <c r="M67" s="20"/>
      <c r="N67" s="64"/>
    </row>
    <row r="68" spans="1:14" hidden="1" x14ac:dyDescent="0.3">
      <c r="A68" s="844" t="s">
        <v>77</v>
      </c>
      <c r="B68" s="845"/>
      <c r="C68" s="845"/>
      <c r="D68" s="846"/>
      <c r="E68" s="65"/>
      <c r="F68" s="847" t="s">
        <v>78</v>
      </c>
      <c r="G68" s="848"/>
      <c r="H68" s="848"/>
      <c r="I68" s="66"/>
      <c r="J68" s="14"/>
      <c r="K68" s="20"/>
      <c r="L68" s="14"/>
      <c r="M68" s="20"/>
      <c r="N68" s="64"/>
    </row>
    <row r="69" spans="1:14" ht="15" hidden="1" thickBot="1" x14ac:dyDescent="0.35">
      <c r="A69" s="861" t="s">
        <v>69</v>
      </c>
      <c r="B69" s="862"/>
      <c r="C69" s="862"/>
      <c r="D69" s="862"/>
      <c r="E69" s="67"/>
      <c r="F69" s="681" t="s">
        <v>71</v>
      </c>
      <c r="G69" s="681"/>
      <c r="H69" s="681"/>
      <c r="I69" s="58" t="s">
        <v>79</v>
      </c>
      <c r="J69" s="68"/>
      <c r="K69" s="69"/>
      <c r="L69" s="68"/>
      <c r="M69" s="69"/>
      <c r="N69" s="70"/>
    </row>
    <row r="70" spans="1:14" ht="15" hidden="1" thickBot="1" x14ac:dyDescent="0.35">
      <c r="A70" s="20"/>
      <c r="B70" s="27"/>
      <c r="C70" s="27"/>
      <c r="D70" s="27"/>
      <c r="E70" s="20"/>
      <c r="F70" s="20"/>
      <c r="G70" s="20"/>
      <c r="H70" s="20"/>
      <c r="I70" s="20"/>
      <c r="J70" s="14"/>
      <c r="K70" s="20"/>
      <c r="L70" s="14"/>
      <c r="M70" s="20"/>
      <c r="N70" s="14"/>
    </row>
    <row r="71" spans="1:14" ht="15" hidden="1" thickBot="1" x14ac:dyDescent="0.35">
      <c r="A71" s="812" t="s">
        <v>56</v>
      </c>
      <c r="B71" s="813"/>
      <c r="C71" s="813"/>
      <c r="D71" s="813"/>
      <c r="E71" s="813"/>
      <c r="F71" s="815" t="s">
        <v>80</v>
      </c>
      <c r="G71" s="816"/>
      <c r="H71" s="816"/>
      <c r="I71" s="816"/>
      <c r="J71" s="816"/>
      <c r="K71" s="838"/>
      <c r="L71" s="838"/>
      <c r="M71" s="838"/>
      <c r="N71" s="839"/>
    </row>
    <row r="72" spans="1:14" hidden="1" x14ac:dyDescent="0.3">
      <c r="A72" s="840" t="s">
        <v>65</v>
      </c>
      <c r="B72" s="841"/>
      <c r="C72" s="841"/>
      <c r="D72" s="842"/>
      <c r="E72" s="62">
        <v>1</v>
      </c>
      <c r="F72" s="71" t="s">
        <v>81</v>
      </c>
      <c r="G72" s="72"/>
      <c r="H72" s="72"/>
      <c r="I72" s="72"/>
      <c r="J72" s="73">
        <v>0</v>
      </c>
      <c r="K72" s="863" t="s">
        <v>82</v>
      </c>
      <c r="L72" s="864"/>
      <c r="M72" s="864"/>
      <c r="N72" s="74">
        <v>375</v>
      </c>
    </row>
    <row r="73" spans="1:14" ht="15" hidden="1" thickBot="1" x14ac:dyDescent="0.35">
      <c r="A73" s="857" t="s">
        <v>83</v>
      </c>
      <c r="B73" s="858"/>
      <c r="C73" s="858"/>
      <c r="D73" s="859"/>
      <c r="E73" s="75"/>
      <c r="F73" s="860" t="s">
        <v>84</v>
      </c>
      <c r="G73" s="843"/>
      <c r="H73" s="843"/>
      <c r="I73" s="843"/>
      <c r="J73" s="76"/>
      <c r="K73" s="698" t="s">
        <v>85</v>
      </c>
      <c r="L73" s="779"/>
      <c r="M73" s="779"/>
      <c r="N73" s="52"/>
    </row>
    <row r="74" spans="1:14" hidden="1" x14ac:dyDescent="0.3">
      <c r="A74" s="20"/>
      <c r="B74" s="27"/>
      <c r="C74" s="27"/>
      <c r="D74" s="27"/>
      <c r="E74" s="60"/>
      <c r="F74" s="77"/>
      <c r="G74" s="78"/>
      <c r="H74" s="78"/>
      <c r="I74" s="78"/>
      <c r="J74" s="79"/>
      <c r="K74" s="698" t="s">
        <v>71</v>
      </c>
      <c r="L74" s="779"/>
      <c r="M74" s="779"/>
      <c r="N74" s="19">
        <v>19</v>
      </c>
    </row>
    <row r="75" spans="1:14" ht="15" hidden="1" thickBot="1" x14ac:dyDescent="0.35">
      <c r="A75" s="20"/>
      <c r="B75" s="27"/>
      <c r="C75" s="27"/>
      <c r="D75" s="27"/>
      <c r="E75" s="20"/>
      <c r="F75" s="20"/>
      <c r="G75" s="20"/>
      <c r="H75" s="20"/>
      <c r="I75" s="20"/>
      <c r="J75" s="14"/>
      <c r="K75" s="20"/>
      <c r="L75" s="14"/>
      <c r="M75" s="20"/>
      <c r="N75" s="14"/>
    </row>
    <row r="76" spans="1:14" ht="15" hidden="1" thickBot="1" x14ac:dyDescent="0.35">
      <c r="A76" s="812" t="s">
        <v>86</v>
      </c>
      <c r="B76" s="813"/>
      <c r="C76" s="813"/>
      <c r="D76" s="813"/>
      <c r="E76" s="814"/>
      <c r="F76" s="815" t="s">
        <v>87</v>
      </c>
      <c r="G76" s="838"/>
      <c r="H76" s="838"/>
      <c r="I76" s="838"/>
      <c r="J76" s="838"/>
      <c r="K76" s="838"/>
      <c r="L76" s="838"/>
      <c r="M76" s="838"/>
      <c r="N76" s="839"/>
    </row>
    <row r="77" spans="1:14" hidden="1" x14ac:dyDescent="0.3">
      <c r="A77" s="867" t="s">
        <v>88</v>
      </c>
      <c r="B77" s="868"/>
      <c r="C77" s="868"/>
      <c r="D77" s="868"/>
      <c r="E77" s="80">
        <v>1</v>
      </c>
      <c r="F77" s="824" t="s">
        <v>89</v>
      </c>
      <c r="G77" s="869"/>
      <c r="H77" s="869"/>
      <c r="I77" s="869"/>
      <c r="J77" s="81"/>
      <c r="K77" s="870" t="s">
        <v>90</v>
      </c>
      <c r="L77" s="864"/>
      <c r="M77" s="864"/>
      <c r="N77" s="74">
        <v>516</v>
      </c>
    </row>
    <row r="78" spans="1:14" ht="15" hidden="1" thickBot="1" x14ac:dyDescent="0.35">
      <c r="A78" s="857" t="s">
        <v>91</v>
      </c>
      <c r="B78" s="858"/>
      <c r="C78" s="858"/>
      <c r="D78" s="858"/>
      <c r="E78" s="82"/>
      <c r="F78" s="681" t="s">
        <v>92</v>
      </c>
      <c r="G78" s="843"/>
      <c r="H78" s="843"/>
      <c r="I78" s="843"/>
      <c r="J78" s="29"/>
      <c r="K78" s="871" t="s">
        <v>93</v>
      </c>
      <c r="L78" s="779"/>
      <c r="M78" s="779"/>
      <c r="N78" s="19"/>
    </row>
    <row r="79" spans="1:14" ht="15" hidden="1" thickBot="1" x14ac:dyDescent="0.35">
      <c r="A79" s="861"/>
      <c r="B79" s="862"/>
      <c r="C79" s="862"/>
      <c r="D79" s="862"/>
      <c r="E79" s="69"/>
      <c r="F79" s="83" t="s">
        <v>94</v>
      </c>
      <c r="G79" s="58"/>
      <c r="H79" s="58"/>
      <c r="I79" s="29"/>
      <c r="J79" s="29"/>
      <c r="K79" s="845" t="s">
        <v>71</v>
      </c>
      <c r="L79" s="779"/>
      <c r="M79" s="779"/>
      <c r="N79" s="19"/>
    </row>
    <row r="80" spans="1:14" ht="15" hidden="1" thickBot="1" x14ac:dyDescent="0.35">
      <c r="A80" s="20"/>
      <c r="B80" s="27"/>
      <c r="C80" s="27"/>
      <c r="D80" s="27"/>
      <c r="E80" s="20"/>
      <c r="F80" s="20"/>
      <c r="G80" s="20"/>
      <c r="H80" s="20"/>
      <c r="I80" s="20"/>
      <c r="J80" s="14"/>
      <c r="K80" s="20"/>
      <c r="L80" s="27"/>
      <c r="M80" s="27"/>
      <c r="N80" s="14"/>
    </row>
    <row r="81" spans="1:14" ht="15" hidden="1" thickBot="1" x14ac:dyDescent="0.35">
      <c r="A81" s="812" t="s">
        <v>95</v>
      </c>
      <c r="B81" s="813"/>
      <c r="C81" s="813"/>
      <c r="D81" s="813"/>
      <c r="E81" s="814"/>
      <c r="F81" s="815" t="s">
        <v>96</v>
      </c>
      <c r="G81" s="816"/>
      <c r="H81" s="816"/>
      <c r="I81" s="816"/>
      <c r="J81" s="837"/>
      <c r="K81" s="817"/>
      <c r="L81" s="817"/>
      <c r="M81" s="838"/>
      <c r="N81" s="839"/>
    </row>
    <row r="82" spans="1:14" hidden="1" x14ac:dyDescent="0.3">
      <c r="A82" s="840" t="s">
        <v>97</v>
      </c>
      <c r="B82" s="841"/>
      <c r="C82" s="841"/>
      <c r="D82" s="842"/>
      <c r="E82" s="84"/>
      <c r="F82" s="85" t="s">
        <v>98</v>
      </c>
      <c r="G82" s="86"/>
      <c r="H82" s="87" t="s">
        <v>99</v>
      </c>
      <c r="I82" s="88" t="s">
        <v>100</v>
      </c>
      <c r="J82" s="89"/>
      <c r="K82" s="89"/>
      <c r="L82" s="90"/>
      <c r="M82" s="91" t="s">
        <v>101</v>
      </c>
      <c r="N82" s="92">
        <v>30</v>
      </c>
    </row>
    <row r="83" spans="1:14" ht="15" hidden="1" thickBot="1" x14ac:dyDescent="0.35">
      <c r="A83" s="865" t="s">
        <v>102</v>
      </c>
      <c r="B83" s="849"/>
      <c r="C83" s="849"/>
      <c r="D83" s="866"/>
      <c r="E83" s="675"/>
      <c r="F83" s="676" t="s">
        <v>103</v>
      </c>
      <c r="G83" s="677"/>
      <c r="H83" s="93">
        <v>1</v>
      </c>
      <c r="I83" s="94" t="s">
        <v>104</v>
      </c>
      <c r="J83" s="95"/>
      <c r="K83" s="96"/>
      <c r="L83" s="95"/>
      <c r="M83" s="97"/>
      <c r="N83" s="98"/>
    </row>
    <row r="84" spans="1:14" x14ac:dyDescent="0.3">
      <c r="A84" s="681" t="s">
        <v>977</v>
      </c>
      <c r="B84" s="681"/>
      <c r="C84" s="681"/>
      <c r="D84" s="681"/>
      <c r="E84" s="681"/>
      <c r="F84" s="681"/>
      <c r="G84" s="678">
        <v>4</v>
      </c>
      <c r="H84" s="141"/>
      <c r="I84" s="77"/>
      <c r="J84" s="142"/>
      <c r="K84" s="77"/>
      <c r="L84" s="142"/>
      <c r="M84" s="77"/>
      <c r="N84" s="143"/>
    </row>
    <row r="85" spans="1:14" x14ac:dyDescent="0.3">
      <c r="A85" s="890" t="s">
        <v>140</v>
      </c>
      <c r="B85" s="891"/>
      <c r="C85" s="891"/>
      <c r="D85" s="891"/>
      <c r="E85" s="891"/>
      <c r="F85" s="891"/>
      <c r="G85" s="891"/>
      <c r="H85" s="891"/>
      <c r="I85" s="891"/>
      <c r="J85" s="891"/>
      <c r="K85" s="891"/>
      <c r="L85" s="144">
        <v>1.4</v>
      </c>
      <c r="M85" s="892"/>
      <c r="N85" s="892"/>
    </row>
    <row r="86" spans="1:14" ht="15" thickBot="1" x14ac:dyDescent="0.35">
      <c r="A86" s="893" t="s">
        <v>141</v>
      </c>
      <c r="B86" s="894"/>
      <c r="C86" s="894"/>
      <c r="D86" s="894"/>
      <c r="E86" s="894"/>
      <c r="F86" s="894"/>
      <c r="G86" s="895"/>
      <c r="H86" s="896" t="s">
        <v>142</v>
      </c>
      <c r="I86" s="897"/>
      <c r="J86" s="897"/>
      <c r="K86" s="897"/>
      <c r="L86" s="100">
        <v>476</v>
      </c>
      <c r="M86" s="99"/>
      <c r="N86" s="100"/>
    </row>
    <row r="87" spans="1:14" ht="15" thickBot="1" x14ac:dyDescent="0.35">
      <c r="A87" s="898" t="s">
        <v>135</v>
      </c>
      <c r="B87" s="899"/>
      <c r="C87" s="899"/>
      <c r="D87" s="899"/>
      <c r="E87" s="899"/>
      <c r="F87" s="899"/>
      <c r="G87" s="900"/>
      <c r="H87" s="898" t="s">
        <v>137</v>
      </c>
      <c r="I87" s="899"/>
      <c r="J87" s="899"/>
      <c r="K87" s="899"/>
      <c r="L87" s="899"/>
      <c r="M87" s="899"/>
      <c r="N87" s="901"/>
    </row>
    <row r="88" spans="1:14" x14ac:dyDescent="0.3">
      <c r="A88" s="829" t="s">
        <v>136</v>
      </c>
      <c r="B88" s="830"/>
      <c r="C88" s="830"/>
      <c r="D88" s="830"/>
      <c r="E88" s="920"/>
      <c r="F88" s="101">
        <v>0</v>
      </c>
      <c r="G88" s="102"/>
      <c r="H88" s="921" t="s">
        <v>138</v>
      </c>
      <c r="I88" s="922"/>
      <c r="J88" s="922"/>
      <c r="K88" s="922"/>
      <c r="L88" s="922"/>
      <c r="M88" s="923"/>
      <c r="N88" s="103"/>
    </row>
    <row r="89" spans="1:14" ht="15" thickBot="1" x14ac:dyDescent="0.35">
      <c r="A89" s="872"/>
      <c r="B89" s="873"/>
      <c r="C89" s="873"/>
      <c r="D89" s="873"/>
      <c r="E89" s="874"/>
      <c r="F89" s="104"/>
      <c r="G89" s="68"/>
      <c r="H89" s="105" t="s">
        <v>139</v>
      </c>
      <c r="I89" s="68"/>
      <c r="J89" s="68"/>
      <c r="K89" s="68"/>
      <c r="L89" s="68"/>
      <c r="M89" s="106"/>
      <c r="N89" s="107">
        <f>J15</f>
        <v>62</v>
      </c>
    </row>
    <row r="90" spans="1:14" x14ac:dyDescent="0.3">
      <c r="A90" s="20"/>
      <c r="B90" s="20"/>
      <c r="C90" s="20"/>
      <c r="D90" s="20"/>
      <c r="E90" s="20"/>
      <c r="F90" s="14"/>
      <c r="G90" s="14"/>
      <c r="H90" s="14"/>
      <c r="I90" s="14"/>
      <c r="J90" s="20"/>
      <c r="K90" s="20"/>
      <c r="L90" s="14"/>
      <c r="M90" s="20"/>
      <c r="N90" s="14" t="s">
        <v>106</v>
      </c>
    </row>
    <row r="91" spans="1:14" ht="15" thickBot="1" x14ac:dyDescent="0.35">
      <c r="A91" s="108" t="s">
        <v>143</v>
      </c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14"/>
    </row>
    <row r="92" spans="1:14" x14ac:dyDescent="0.3">
      <c r="A92" s="875" t="s">
        <v>144</v>
      </c>
      <c r="B92" s="876"/>
      <c r="C92" s="876"/>
      <c r="D92" s="876"/>
      <c r="E92" s="877"/>
      <c r="F92" s="881" t="s">
        <v>145</v>
      </c>
      <c r="G92" s="882"/>
      <c r="H92" s="882"/>
      <c r="I92" s="882"/>
      <c r="J92" s="883"/>
      <c r="K92" s="884"/>
      <c r="L92" s="20"/>
      <c r="M92" s="20"/>
      <c r="N92" s="14"/>
    </row>
    <row r="93" spans="1:14" ht="15" thickBot="1" x14ac:dyDescent="0.35">
      <c r="A93" s="878"/>
      <c r="B93" s="879"/>
      <c r="C93" s="879"/>
      <c r="D93" s="879"/>
      <c r="E93" s="880"/>
      <c r="F93" s="885" t="s">
        <v>149</v>
      </c>
      <c r="G93" s="886"/>
      <c r="H93" s="887" t="s">
        <v>150</v>
      </c>
      <c r="I93" s="888"/>
      <c r="J93" s="888"/>
      <c r="K93" s="889"/>
      <c r="L93" s="20"/>
      <c r="M93" s="20"/>
      <c r="N93" s="14"/>
    </row>
    <row r="94" spans="1:14" x14ac:dyDescent="0.3">
      <c r="A94" s="840" t="s">
        <v>146</v>
      </c>
      <c r="B94" s="824"/>
      <c r="C94" s="824"/>
      <c r="D94" s="824"/>
      <c r="E94" s="824"/>
      <c r="F94" s="918"/>
      <c r="G94" s="918"/>
      <c r="H94" s="918"/>
      <c r="I94" s="918"/>
      <c r="J94" s="918"/>
      <c r="K94" s="919"/>
      <c r="L94" s="20"/>
      <c r="M94" s="20"/>
      <c r="N94" s="14"/>
    </row>
    <row r="95" spans="1:14" x14ac:dyDescent="0.3">
      <c r="A95" s="844" t="s">
        <v>147</v>
      </c>
      <c r="B95" s="681"/>
      <c r="C95" s="681"/>
      <c r="D95" s="681"/>
      <c r="E95" s="681"/>
      <c r="F95" s="916"/>
      <c r="G95" s="916"/>
      <c r="H95" s="916"/>
      <c r="I95" s="916"/>
      <c r="J95" s="916"/>
      <c r="K95" s="917"/>
      <c r="L95" s="20"/>
      <c r="M95" s="20"/>
      <c r="N95" s="14"/>
    </row>
    <row r="96" spans="1:14" x14ac:dyDescent="0.3">
      <c r="A96" s="844" t="s">
        <v>148</v>
      </c>
      <c r="B96" s="681"/>
      <c r="C96" s="681"/>
      <c r="D96" s="681"/>
      <c r="E96" s="681"/>
      <c r="F96" s="916"/>
      <c r="G96" s="916"/>
      <c r="H96" s="916"/>
      <c r="I96" s="916"/>
      <c r="J96" s="916"/>
      <c r="K96" s="917"/>
      <c r="L96" s="20"/>
      <c r="M96" s="20"/>
      <c r="N96" s="14"/>
    </row>
    <row r="97" spans="1:14" x14ac:dyDescent="0.3">
      <c r="A97" s="20"/>
      <c r="B97" s="20"/>
      <c r="C97" s="20"/>
      <c r="D97" s="20"/>
      <c r="E97" s="20"/>
      <c r="F97" s="610"/>
      <c r="G97" s="610"/>
      <c r="H97" s="610"/>
      <c r="I97" s="610"/>
      <c r="J97" s="610"/>
      <c r="K97" s="610"/>
      <c r="L97" s="20"/>
      <c r="M97" s="20"/>
      <c r="N97" s="14"/>
    </row>
    <row r="98" spans="1:14" x14ac:dyDescent="0.3">
      <c r="A98" s="20"/>
      <c r="B98" s="20"/>
      <c r="C98" s="20"/>
      <c r="D98" s="20"/>
      <c r="E98" s="20"/>
      <c r="F98" s="610"/>
      <c r="G98" s="610"/>
      <c r="H98" s="610"/>
      <c r="I98" s="610"/>
      <c r="J98" s="610"/>
      <c r="K98" s="610"/>
      <c r="L98" s="20"/>
      <c r="M98" s="20"/>
      <c r="N98" s="14"/>
    </row>
    <row r="99" spans="1:14" x14ac:dyDescent="0.3">
      <c r="A99" s="20"/>
      <c r="B99" s="20"/>
      <c r="C99" s="20"/>
      <c r="D99" s="20"/>
      <c r="E99" s="20"/>
      <c r="F99" s="610"/>
      <c r="G99" s="610"/>
      <c r="H99" s="610"/>
      <c r="I99" s="610"/>
      <c r="J99" s="610"/>
      <c r="K99" s="610"/>
      <c r="L99" s="20"/>
      <c r="M99" s="20"/>
      <c r="N99" s="14"/>
    </row>
    <row r="100" spans="1:14" x14ac:dyDescent="0.3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14"/>
    </row>
    <row r="101" spans="1:14" x14ac:dyDescent="0.3">
      <c r="A101" s="108" t="s">
        <v>151</v>
      </c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14"/>
    </row>
    <row r="102" spans="1:14" x14ac:dyDescent="0.3">
      <c r="A102" s="108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14"/>
    </row>
    <row r="103" spans="1:14" x14ac:dyDescent="0.3">
      <c r="A103" s="911" t="s">
        <v>152</v>
      </c>
      <c r="B103" s="912"/>
      <c r="C103" s="912"/>
      <c r="D103" s="912"/>
      <c r="E103" s="912"/>
      <c r="F103" s="912"/>
      <c r="G103" s="912"/>
      <c r="H103" s="912"/>
      <c r="I103" s="852"/>
      <c r="J103" s="852"/>
      <c r="K103" s="852"/>
      <c r="L103" s="913"/>
      <c r="M103" s="914" t="s">
        <v>153</v>
      </c>
      <c r="N103" s="915"/>
    </row>
    <row r="104" spans="1:14" x14ac:dyDescent="0.3">
      <c r="A104" s="58" t="s">
        <v>154</v>
      </c>
      <c r="B104" s="109"/>
      <c r="C104" s="109"/>
      <c r="D104" s="109"/>
      <c r="E104" s="109"/>
      <c r="F104" s="109"/>
      <c r="G104" s="109"/>
      <c r="H104" s="109"/>
      <c r="I104" s="110"/>
      <c r="J104" s="58"/>
      <c r="K104" s="58"/>
      <c r="L104" s="58"/>
      <c r="M104" s="908">
        <v>0.1075</v>
      </c>
      <c r="N104" s="908"/>
    </row>
    <row r="105" spans="1:14" x14ac:dyDescent="0.3">
      <c r="A105" s="681" t="s">
        <v>155</v>
      </c>
      <c r="B105" s="909"/>
      <c r="C105" s="909"/>
      <c r="D105" s="909"/>
      <c r="E105" s="909"/>
      <c r="F105" s="909"/>
      <c r="G105" s="909"/>
      <c r="H105" s="909"/>
      <c r="I105" s="909"/>
      <c r="J105" s="909"/>
      <c r="K105" s="909"/>
      <c r="L105" s="909"/>
      <c r="M105" s="910"/>
      <c r="N105" s="910"/>
    </row>
    <row r="106" spans="1:14" x14ac:dyDescent="0.3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7"/>
    </row>
    <row r="107" spans="1:14" x14ac:dyDescent="0.3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1:14" x14ac:dyDescent="0.3">
      <c r="A108" s="16"/>
      <c r="B108" s="16"/>
      <c r="C108" s="16"/>
      <c r="D108" s="16" t="s">
        <v>105</v>
      </c>
      <c r="E108" s="16"/>
      <c r="F108" s="16"/>
      <c r="G108" s="907" t="s">
        <v>106</v>
      </c>
      <c r="H108" s="907"/>
      <c r="I108" s="907"/>
      <c r="J108" s="903"/>
      <c r="K108" s="903"/>
      <c r="L108" s="903"/>
      <c r="M108" s="903"/>
      <c r="N108" s="16"/>
    </row>
    <row r="109" spans="1:14" x14ac:dyDescent="0.3">
      <c r="A109" s="16"/>
      <c r="B109" s="16"/>
      <c r="C109" s="16"/>
      <c r="D109" s="16" t="s">
        <v>107</v>
      </c>
      <c r="E109" s="16"/>
      <c r="F109" s="16"/>
      <c r="G109" s="902"/>
      <c r="H109" s="902"/>
      <c r="I109" s="902"/>
      <c r="J109" s="903"/>
      <c r="K109" s="903"/>
      <c r="L109" s="903"/>
      <c r="M109" s="903"/>
      <c r="N109" s="16"/>
    </row>
  </sheetData>
  <mergeCells count="190">
    <mergeCell ref="G109:I109"/>
    <mergeCell ref="J109:M109"/>
    <mergeCell ref="A39:H40"/>
    <mergeCell ref="A51:H52"/>
    <mergeCell ref="A38:N38"/>
    <mergeCell ref="A2:N2"/>
    <mergeCell ref="G108:I108"/>
    <mergeCell ref="J108:M108"/>
    <mergeCell ref="M104:N104"/>
    <mergeCell ref="A105:L105"/>
    <mergeCell ref="M105:N105"/>
    <mergeCell ref="A103:L103"/>
    <mergeCell ref="M103:N103"/>
    <mergeCell ref="A96:E96"/>
    <mergeCell ref="F96:G96"/>
    <mergeCell ref="H96:K96"/>
    <mergeCell ref="A94:E94"/>
    <mergeCell ref="F94:G94"/>
    <mergeCell ref="H94:K94"/>
    <mergeCell ref="A95:E95"/>
    <mergeCell ref="F95:G95"/>
    <mergeCell ref="H95:K95"/>
    <mergeCell ref="A88:E88"/>
    <mergeCell ref="H88:M88"/>
    <mergeCell ref="A89:E89"/>
    <mergeCell ref="A92:E93"/>
    <mergeCell ref="F92:K92"/>
    <mergeCell ref="F93:G93"/>
    <mergeCell ref="H93:K93"/>
    <mergeCell ref="A85:K85"/>
    <mergeCell ref="M85:N85"/>
    <mergeCell ref="A86:G86"/>
    <mergeCell ref="H86:K86"/>
    <mergeCell ref="A87:G87"/>
    <mergeCell ref="H87:N87"/>
    <mergeCell ref="A79:D79"/>
    <mergeCell ref="K79:M79"/>
    <mergeCell ref="A81:E81"/>
    <mergeCell ref="F81:N81"/>
    <mergeCell ref="A82:D82"/>
    <mergeCell ref="A83:D83"/>
    <mergeCell ref="A77:D77"/>
    <mergeCell ref="F77:I77"/>
    <mergeCell ref="K77:M77"/>
    <mergeCell ref="A78:D78"/>
    <mergeCell ref="F78:I78"/>
    <mergeCell ref="K78:M78"/>
    <mergeCell ref="A73:D73"/>
    <mergeCell ref="F73:I73"/>
    <mergeCell ref="K73:M73"/>
    <mergeCell ref="K74:M74"/>
    <mergeCell ref="A76:E76"/>
    <mergeCell ref="F76:N76"/>
    <mergeCell ref="A69:D69"/>
    <mergeCell ref="F69:H69"/>
    <mergeCell ref="A71:E71"/>
    <mergeCell ref="F71:N71"/>
    <mergeCell ref="A72:D72"/>
    <mergeCell ref="K72:M72"/>
    <mergeCell ref="K64:M64"/>
    <mergeCell ref="A66:E66"/>
    <mergeCell ref="F66:N66"/>
    <mergeCell ref="A67:D67"/>
    <mergeCell ref="F67:H67"/>
    <mergeCell ref="A68:D68"/>
    <mergeCell ref="F68:H68"/>
    <mergeCell ref="H61:I61"/>
    <mergeCell ref="K61:M61"/>
    <mergeCell ref="A62:D62"/>
    <mergeCell ref="F62:G63"/>
    <mergeCell ref="K62:M62"/>
    <mergeCell ref="A63:D63"/>
    <mergeCell ref="K63:M63"/>
    <mergeCell ref="C57:L57"/>
    <mergeCell ref="A59:E59"/>
    <mergeCell ref="F59:N59"/>
    <mergeCell ref="A60:D60"/>
    <mergeCell ref="F60:G61"/>
    <mergeCell ref="H60:I60"/>
    <mergeCell ref="K60:M60"/>
    <mergeCell ref="A61:D61"/>
    <mergeCell ref="A56:F56"/>
    <mergeCell ref="H56:M56"/>
    <mergeCell ref="A54:G55"/>
    <mergeCell ref="H54:K54"/>
    <mergeCell ref="L54:N54"/>
    <mergeCell ref="H55:K55"/>
    <mergeCell ref="L55:N55"/>
    <mergeCell ref="I52:J52"/>
    <mergeCell ref="A53:G53"/>
    <mergeCell ref="I53:J53"/>
    <mergeCell ref="A44:G44"/>
    <mergeCell ref="A47:G47"/>
    <mergeCell ref="A48:G48"/>
    <mergeCell ref="A45:G45"/>
    <mergeCell ref="A46:G46"/>
    <mergeCell ref="A49:G49"/>
    <mergeCell ref="A42:G42"/>
    <mergeCell ref="A43:G43"/>
    <mergeCell ref="K39:L39"/>
    <mergeCell ref="M39:N39"/>
    <mergeCell ref="A41:G41"/>
    <mergeCell ref="A37:D37"/>
    <mergeCell ref="E37:F37"/>
    <mergeCell ref="G37:I37"/>
    <mergeCell ref="J37:K37"/>
    <mergeCell ref="L37:M37"/>
    <mergeCell ref="L34:M34"/>
    <mergeCell ref="A35:D35"/>
    <mergeCell ref="E35:F35"/>
    <mergeCell ref="H35:I35"/>
    <mergeCell ref="J35:M35"/>
    <mergeCell ref="A36:B36"/>
    <mergeCell ref="C36:D36"/>
    <mergeCell ref="E36:K36"/>
    <mergeCell ref="A32:G32"/>
    <mergeCell ref="H32:I32"/>
    <mergeCell ref="J32:K32"/>
    <mergeCell ref="M32:N32"/>
    <mergeCell ref="A33:N33"/>
    <mergeCell ref="A34:B34"/>
    <mergeCell ref="C34:D34"/>
    <mergeCell ref="E34:F34"/>
    <mergeCell ref="H34:I34"/>
    <mergeCell ref="J34:K34"/>
    <mergeCell ref="A31:G31"/>
    <mergeCell ref="H31:I31"/>
    <mergeCell ref="J31:K31"/>
    <mergeCell ref="M31:N31"/>
    <mergeCell ref="A28:G28"/>
    <mergeCell ref="H28:I28"/>
    <mergeCell ref="J28:K28"/>
    <mergeCell ref="M28:N28"/>
    <mergeCell ref="A29:G29"/>
    <mergeCell ref="H29:I29"/>
    <mergeCell ref="J29:K29"/>
    <mergeCell ref="M29:N29"/>
    <mergeCell ref="A26:G26"/>
    <mergeCell ref="H26:I26"/>
    <mergeCell ref="J26:K26"/>
    <mergeCell ref="M26:N26"/>
    <mergeCell ref="A27:G27"/>
    <mergeCell ref="H27:I27"/>
    <mergeCell ref="J27:K27"/>
    <mergeCell ref="M27:N27"/>
    <mergeCell ref="A30:G30"/>
    <mergeCell ref="H30:I30"/>
    <mergeCell ref="J30:K30"/>
    <mergeCell ref="M30:N30"/>
    <mergeCell ref="A23:F23"/>
    <mergeCell ref="G23:I23"/>
    <mergeCell ref="J23:L23"/>
    <mergeCell ref="A24:L24"/>
    <mergeCell ref="A25:G25"/>
    <mergeCell ref="H25:I25"/>
    <mergeCell ref="J25:K25"/>
    <mergeCell ref="L18:M18"/>
    <mergeCell ref="A20:N20"/>
    <mergeCell ref="A21:F22"/>
    <mergeCell ref="G21:I21"/>
    <mergeCell ref="J21:L21"/>
    <mergeCell ref="M21:N21"/>
    <mergeCell ref="G22:I22"/>
    <mergeCell ref="J22:L22"/>
    <mergeCell ref="M22:N22"/>
    <mergeCell ref="M25:N25"/>
    <mergeCell ref="A84:F84"/>
    <mergeCell ref="A11:B12"/>
    <mergeCell ref="C11:D11"/>
    <mergeCell ref="E11:F11"/>
    <mergeCell ref="C12:D12"/>
    <mergeCell ref="E12:F12"/>
    <mergeCell ref="A9:C9"/>
    <mergeCell ref="D9:F9"/>
    <mergeCell ref="A3:L3"/>
    <mergeCell ref="C4:N4"/>
    <mergeCell ref="C5:N5"/>
    <mergeCell ref="E6:J6"/>
    <mergeCell ref="A8:C8"/>
    <mergeCell ref="D8:F8"/>
    <mergeCell ref="A16:I16"/>
    <mergeCell ref="J16:K16"/>
    <mergeCell ref="A17:I17"/>
    <mergeCell ref="J17:K17"/>
    <mergeCell ref="A18:I18"/>
    <mergeCell ref="J18:K18"/>
    <mergeCell ref="A14:I14"/>
    <mergeCell ref="J14:K14"/>
    <mergeCell ref="A15:I15"/>
    <mergeCell ref="J15:K15"/>
  </mergeCells>
  <pageMargins left="0.7" right="0.7" top="0.75" bottom="0.75" header="0.3" footer="0.3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45DE9-957F-4708-B184-4F7F55E0B97E}">
  <dimension ref="A1:K143"/>
  <sheetViews>
    <sheetView topLeftCell="A129" zoomScaleNormal="100" workbookViewId="0">
      <selection activeCell="E90" sqref="E90"/>
    </sheetView>
  </sheetViews>
  <sheetFormatPr defaultRowHeight="14.4" x14ac:dyDescent="0.3"/>
  <cols>
    <col min="1" max="1" width="6.21875" customWidth="1"/>
    <col min="3" max="3" width="16.21875" customWidth="1"/>
  </cols>
  <sheetData>
    <row r="1" spans="1:11" x14ac:dyDescent="0.3">
      <c r="A1" s="1259" t="str">
        <f>CONCATENATE(кошторис!B4)</f>
        <v>м. КанівДніпробудівська7</v>
      </c>
      <c r="B1" s="1260"/>
      <c r="C1" s="1260"/>
      <c r="D1" s="1116"/>
      <c r="E1" s="1116"/>
      <c r="H1" s="1261" t="s">
        <v>211</v>
      </c>
      <c r="I1" s="1261"/>
      <c r="J1" s="1261"/>
      <c r="K1" s="1261"/>
    </row>
    <row r="2" spans="1:11" x14ac:dyDescent="0.3">
      <c r="H2" s="1261" t="str">
        <f>прибирання!G2</f>
        <v xml:space="preserve">директор </v>
      </c>
      <c r="I2" s="1261"/>
      <c r="J2" s="1261"/>
      <c r="K2" s="1261"/>
    </row>
    <row r="3" spans="1:11" x14ac:dyDescent="0.3">
      <c r="H3" s="1265" t="s">
        <v>634</v>
      </c>
      <c r="I3" s="1265"/>
      <c r="J3" s="1265"/>
      <c r="K3" s="1265"/>
    </row>
    <row r="4" spans="1:11" x14ac:dyDescent="0.3">
      <c r="H4" s="247"/>
      <c r="I4" s="248"/>
      <c r="J4" s="1262" t="s">
        <v>293</v>
      </c>
      <c r="K4" s="1262"/>
    </row>
    <row r="6" spans="1:11" x14ac:dyDescent="0.3">
      <c r="A6" s="1263" t="s">
        <v>297</v>
      </c>
      <c r="B6" s="1263"/>
      <c r="C6" s="1263"/>
      <c r="D6" s="1263"/>
      <c r="E6" s="1263"/>
      <c r="F6" s="1263"/>
      <c r="G6" s="1263"/>
      <c r="H6" s="1263"/>
      <c r="I6" s="1263"/>
      <c r="J6" s="1263"/>
    </row>
    <row r="7" spans="1:11" ht="43.2" customHeight="1" x14ac:dyDescent="0.3">
      <c r="A7" s="1336" t="s">
        <v>926</v>
      </c>
      <c r="B7" s="1336"/>
      <c r="C7" s="1336"/>
      <c r="D7" s="1336"/>
      <c r="E7" s="1336"/>
      <c r="F7" s="1336"/>
      <c r="G7" s="1336"/>
      <c r="H7" s="1336"/>
      <c r="I7" s="1336"/>
      <c r="J7" s="1336"/>
      <c r="K7" s="1336"/>
    </row>
    <row r="8" spans="1:11" x14ac:dyDescent="0.3">
      <c r="A8" s="1337" t="s">
        <v>635</v>
      </c>
      <c r="B8" s="1337"/>
      <c r="C8" s="1337"/>
      <c r="D8" s="1337"/>
      <c r="E8" s="1337"/>
      <c r="F8" s="1337"/>
      <c r="G8" s="1337"/>
      <c r="H8" s="1337"/>
      <c r="I8" s="1337"/>
      <c r="J8" s="1337"/>
      <c r="K8" s="1337"/>
    </row>
    <row r="9" spans="1:11" ht="26.4" x14ac:dyDescent="0.3">
      <c r="A9" s="179" t="s">
        <v>227</v>
      </c>
      <c r="B9" s="1257" t="s">
        <v>214</v>
      </c>
      <c r="C9" s="1239"/>
      <c r="D9" s="1239"/>
      <c r="E9" s="1239"/>
      <c r="F9" s="1239"/>
      <c r="G9" s="179" t="s">
        <v>215</v>
      </c>
      <c r="H9" s="1257" t="s">
        <v>216</v>
      </c>
      <c r="I9" s="1239"/>
      <c r="J9" s="1334" t="s">
        <v>501</v>
      </c>
      <c r="K9" s="1335"/>
    </row>
    <row r="10" spans="1:11" ht="16.2" customHeight="1" x14ac:dyDescent="0.3">
      <c r="A10" s="179">
        <v>1</v>
      </c>
      <c r="B10" s="1245" t="s">
        <v>636</v>
      </c>
      <c r="C10" s="1156"/>
      <c r="D10" s="1156"/>
      <c r="E10" s="1156"/>
      <c r="F10" s="1156"/>
      <c r="G10" s="256" t="s">
        <v>178</v>
      </c>
      <c r="H10" s="1247">
        <f t="shared" ref="H10:H15" si="0">J10*12</f>
        <v>12157.9282676568</v>
      </c>
      <c r="I10" s="1248"/>
      <c r="J10" s="1247">
        <f>J117+J118</f>
        <v>1013.1606889714</v>
      </c>
      <c r="K10" s="1254"/>
    </row>
    <row r="11" spans="1:11" ht="32.4" customHeight="1" x14ac:dyDescent="0.3">
      <c r="A11" s="179">
        <v>2</v>
      </c>
      <c r="B11" s="1255" t="s">
        <v>637</v>
      </c>
      <c r="C11" s="1256"/>
      <c r="D11" s="1256"/>
      <c r="E11" s="1256"/>
      <c r="F11" s="1256"/>
      <c r="G11" s="256" t="s">
        <v>178</v>
      </c>
      <c r="H11" s="1247">
        <f t="shared" si="0"/>
        <v>2674.7442188844957</v>
      </c>
      <c r="I11" s="1248"/>
      <c r="J11" s="1247">
        <f>J10*розрахунок!D40/100</f>
        <v>222.89535157370798</v>
      </c>
      <c r="K11" s="1254"/>
    </row>
    <row r="12" spans="1:11" x14ac:dyDescent="0.3">
      <c r="A12" s="179">
        <v>3</v>
      </c>
      <c r="B12" s="1245" t="s">
        <v>500</v>
      </c>
      <c r="C12" s="1246"/>
      <c r="D12" s="1246"/>
      <c r="E12" s="1246"/>
      <c r="F12" s="1246"/>
      <c r="G12" s="256" t="s">
        <v>178</v>
      </c>
      <c r="H12" s="1247">
        <f t="shared" si="0"/>
        <v>15076.527525488631</v>
      </c>
      <c r="I12" s="1248"/>
      <c r="J12" s="1247">
        <f>K125</f>
        <v>1256.3772937907192</v>
      </c>
      <c r="K12" s="1254"/>
    </row>
    <row r="13" spans="1:11" x14ac:dyDescent="0.3">
      <c r="A13" s="179">
        <v>4</v>
      </c>
      <c r="B13" s="1245" t="s">
        <v>638</v>
      </c>
      <c r="C13" s="1246"/>
      <c r="D13" s="1246"/>
      <c r="E13" s="1246"/>
      <c r="F13" s="1246"/>
      <c r="G13" s="256" t="s">
        <v>178</v>
      </c>
      <c r="H13" s="1247">
        <f t="shared" si="0"/>
        <v>4918.32</v>
      </c>
      <c r="I13" s="1248"/>
      <c r="J13" s="1247">
        <f>ROUND(інвентар!I10+інвентар!I11+H140+I143,2)</f>
        <v>409.86</v>
      </c>
      <c r="K13" s="1254"/>
    </row>
    <row r="14" spans="1:11" x14ac:dyDescent="0.3">
      <c r="A14" s="179">
        <v>5</v>
      </c>
      <c r="B14" s="1245" t="s">
        <v>487</v>
      </c>
      <c r="C14" s="1246"/>
      <c r="D14" s="1246"/>
      <c r="E14" s="1246"/>
      <c r="F14" s="1246"/>
      <c r="G14" s="256" t="s">
        <v>178</v>
      </c>
      <c r="H14" s="1247">
        <f t="shared" si="0"/>
        <v>0</v>
      </c>
      <c r="I14" s="1248"/>
      <c r="J14" s="1249">
        <v>0</v>
      </c>
      <c r="K14" s="1225"/>
    </row>
    <row r="15" spans="1:11" ht="16.2" customHeight="1" x14ac:dyDescent="0.3">
      <c r="A15" s="179">
        <v>6</v>
      </c>
      <c r="B15" s="1278" t="s">
        <v>502</v>
      </c>
      <c r="C15" s="1331"/>
      <c r="D15" s="1331"/>
      <c r="E15" s="1331"/>
      <c r="F15" s="1332"/>
      <c r="G15" s="256" t="s">
        <v>178</v>
      </c>
      <c r="H15" s="1247">
        <f t="shared" si="0"/>
        <v>24708.48</v>
      </c>
      <c r="I15" s="1248"/>
      <c r="J15" s="1249">
        <f>ROUND(розрахунок!D52*Характеристика!N18,2)</f>
        <v>2059.04</v>
      </c>
      <c r="K15" s="1333"/>
    </row>
    <row r="16" spans="1:11" ht="15.6" customHeight="1" x14ac:dyDescent="0.3">
      <c r="A16" s="179">
        <v>7</v>
      </c>
      <c r="B16" s="1238" t="s">
        <v>218</v>
      </c>
      <c r="C16" s="1250"/>
      <c r="D16" s="1250"/>
      <c r="E16" s="1250"/>
      <c r="F16" s="1250"/>
      <c r="G16" s="179" t="s">
        <v>178</v>
      </c>
      <c r="H16" s="1251">
        <f>SUM(H10:H15)</f>
        <v>59536.000012029923</v>
      </c>
      <c r="I16" s="1252"/>
      <c r="J16" s="1251">
        <f>SUM(J10:J15)</f>
        <v>4961.3333343358272</v>
      </c>
      <c r="K16" s="1252"/>
    </row>
    <row r="17" spans="1:11" x14ac:dyDescent="0.3">
      <c r="A17" s="179">
        <v>8</v>
      </c>
      <c r="B17" s="1347" t="s">
        <v>120</v>
      </c>
      <c r="C17" s="1348"/>
      <c r="D17" s="1348"/>
      <c r="E17" s="1348"/>
      <c r="F17" s="1348"/>
      <c r="G17" s="256" t="s">
        <v>220</v>
      </c>
      <c r="H17" s="1249">
        <f>Характеристика!N18</f>
        <v>3207.38</v>
      </c>
      <c r="I17" s="1349"/>
      <c r="J17" s="1349"/>
      <c r="K17" s="1275"/>
    </row>
    <row r="18" spans="1:11" x14ac:dyDescent="0.3">
      <c r="A18" s="179">
        <v>9</v>
      </c>
      <c r="B18" s="1238" t="s">
        <v>498</v>
      </c>
      <c r="C18" s="1239"/>
      <c r="D18" s="1239"/>
      <c r="E18" s="1239"/>
      <c r="F18" s="1239"/>
      <c r="G18" s="179" t="s">
        <v>178</v>
      </c>
      <c r="H18" s="584"/>
      <c r="I18" s="585"/>
      <c r="J18" s="505"/>
      <c r="K18" s="586">
        <f>J16/H17</f>
        <v>1.5468492459065739</v>
      </c>
    </row>
    <row r="19" spans="1:11" x14ac:dyDescent="0.3">
      <c r="A19" s="424"/>
      <c r="B19" s="425"/>
      <c r="C19" s="426"/>
      <c r="D19" s="426"/>
      <c r="E19" s="426"/>
      <c r="F19" s="426"/>
      <c r="G19" s="424"/>
      <c r="H19" s="427"/>
      <c r="I19" s="427"/>
      <c r="J19" s="428"/>
      <c r="K19" s="428"/>
    </row>
    <row r="20" spans="1:11" x14ac:dyDescent="0.3">
      <c r="A20" s="1338" t="s">
        <v>503</v>
      </c>
      <c r="B20" s="1339"/>
      <c r="C20" s="1339"/>
      <c r="D20" s="1339"/>
      <c r="E20" s="1339"/>
      <c r="F20" s="1339"/>
      <c r="G20" s="1339"/>
      <c r="H20" s="1339"/>
      <c r="I20" s="1339"/>
      <c r="J20" s="1339"/>
      <c r="K20" s="1339"/>
    </row>
    <row r="21" spans="1:11" ht="39" customHeight="1" x14ac:dyDescent="0.3">
      <c r="A21" s="1340" t="s">
        <v>769</v>
      </c>
      <c r="B21" s="1341"/>
      <c r="C21" s="1341"/>
      <c r="D21" s="1341"/>
      <c r="E21" s="1341"/>
      <c r="F21" s="1341"/>
      <c r="G21" s="1341"/>
      <c r="H21" s="1341"/>
      <c r="I21" s="1341"/>
      <c r="J21" s="1341"/>
      <c r="K21" s="1341"/>
    </row>
    <row r="22" spans="1:11" ht="30" customHeight="1" x14ac:dyDescent="0.3">
      <c r="A22" s="1342" t="s">
        <v>504</v>
      </c>
      <c r="B22" s="1343"/>
      <c r="C22" s="1343"/>
      <c r="D22" s="1343"/>
      <c r="E22" s="1343"/>
      <c r="F22" s="1343"/>
      <c r="G22" s="1343"/>
      <c r="H22" s="1343"/>
      <c r="I22" s="1343"/>
      <c r="J22" s="1343"/>
      <c r="K22" s="1343"/>
    </row>
    <row r="23" spans="1:11" x14ac:dyDescent="0.3">
      <c r="A23" s="1344" t="str">
        <f>CONCATENATE("Річний фонт робочого часу на ",[1]Расчет!C28," рік")</f>
        <v>Річний фонт робочого часу на  рік</v>
      </c>
      <c r="B23" s="1345"/>
      <c r="C23" s="1345"/>
      <c r="D23" s="1345"/>
      <c r="E23" s="1345"/>
      <c r="F23" s="1346" t="s">
        <v>505</v>
      </c>
      <c r="G23" s="1346"/>
      <c r="H23" s="429">
        <f>розрахунок!D44</f>
        <v>250</v>
      </c>
      <c r="I23" s="1346" t="s">
        <v>175</v>
      </c>
      <c r="J23" s="1346"/>
      <c r="K23" s="429">
        <f>розрахунок!D46</f>
        <v>1993</v>
      </c>
    </row>
    <row r="24" spans="1:11" x14ac:dyDescent="0.3">
      <c r="A24" s="1195" t="s">
        <v>832</v>
      </c>
      <c r="B24" s="1325"/>
      <c r="C24" s="1325"/>
      <c r="D24" s="1325"/>
      <c r="E24" s="1325"/>
      <c r="F24" s="1325"/>
      <c r="G24" s="1325"/>
      <c r="H24" s="1325"/>
      <c r="I24" s="1325"/>
      <c r="J24" s="1325"/>
      <c r="K24" s="1326"/>
    </row>
    <row r="25" spans="1:11" ht="81.599999999999994" x14ac:dyDescent="0.3">
      <c r="A25" s="188" t="s">
        <v>227</v>
      </c>
      <c r="B25" s="1230" t="s">
        <v>228</v>
      </c>
      <c r="C25" s="1231"/>
      <c r="D25" s="408" t="s">
        <v>327</v>
      </c>
      <c r="E25" s="189" t="s">
        <v>506</v>
      </c>
      <c r="F25" s="190" t="s">
        <v>507</v>
      </c>
      <c r="G25" s="1232" t="s">
        <v>508</v>
      </c>
      <c r="H25" s="1231"/>
      <c r="I25" s="191" t="s">
        <v>509</v>
      </c>
      <c r="J25" s="192" t="s">
        <v>233</v>
      </c>
      <c r="K25" s="192" t="s">
        <v>234</v>
      </c>
    </row>
    <row r="26" spans="1:11" x14ac:dyDescent="0.3">
      <c r="A26" s="430">
        <v>1</v>
      </c>
      <c r="B26" s="1352">
        <v>2</v>
      </c>
      <c r="C26" s="1353"/>
      <c r="D26" s="431">
        <v>3</v>
      </c>
      <c r="E26" s="432">
        <v>4</v>
      </c>
      <c r="F26" s="432">
        <v>5</v>
      </c>
      <c r="G26" s="1354">
        <v>6</v>
      </c>
      <c r="H26" s="1355"/>
      <c r="I26" s="432">
        <v>7</v>
      </c>
      <c r="J26" s="432">
        <v>8</v>
      </c>
      <c r="K26" s="433">
        <v>9</v>
      </c>
    </row>
    <row r="27" spans="1:11" x14ac:dyDescent="0.3">
      <c r="A27" s="226">
        <v>1</v>
      </c>
      <c r="B27" s="1308" t="s">
        <v>510</v>
      </c>
      <c r="C27" s="1193"/>
      <c r="D27" s="1193"/>
      <c r="E27" s="1193"/>
      <c r="F27" s="1193"/>
      <c r="G27" s="1193"/>
      <c r="H27" s="1194"/>
      <c r="I27" s="434"/>
      <c r="J27" s="434"/>
      <c r="K27" s="434"/>
    </row>
    <row r="28" spans="1:11" ht="22.8" customHeight="1" x14ac:dyDescent="0.3">
      <c r="A28" s="254" t="s">
        <v>225</v>
      </c>
      <c r="B28" s="1291" t="s">
        <v>511</v>
      </c>
      <c r="C28" s="1350"/>
      <c r="D28" s="435" t="s">
        <v>512</v>
      </c>
      <c r="E28" s="238">
        <f>розрахунок!D10</f>
        <v>478</v>
      </c>
      <c r="F28" s="251">
        <v>2</v>
      </c>
      <c r="G28" s="1351">
        <v>1.2</v>
      </c>
      <c r="H28" s="1351"/>
      <c r="I28" s="249">
        <f>E28/100*F28*G28</f>
        <v>11.472</v>
      </c>
      <c r="J28" s="228">
        <v>75</v>
      </c>
      <c r="K28" s="228" t="s">
        <v>513</v>
      </c>
    </row>
    <row r="29" spans="1:11" ht="25.2" customHeight="1" x14ac:dyDescent="0.3">
      <c r="A29" s="254" t="s">
        <v>514</v>
      </c>
      <c r="B29" s="1291" t="s">
        <v>515</v>
      </c>
      <c r="C29" s="1350"/>
      <c r="D29" s="435" t="s">
        <v>512</v>
      </c>
      <c r="E29" s="238">
        <f>розрахунок!D12</f>
        <v>495</v>
      </c>
      <c r="F29" s="251">
        <v>2</v>
      </c>
      <c r="G29" s="1351">
        <v>1.2</v>
      </c>
      <c r="H29" s="1351"/>
      <c r="I29" s="249">
        <f>E29/100*F29*G29</f>
        <v>11.88</v>
      </c>
      <c r="J29" s="228">
        <v>75</v>
      </c>
      <c r="K29" s="228" t="s">
        <v>513</v>
      </c>
    </row>
    <row r="30" spans="1:11" ht="33.6" customHeight="1" x14ac:dyDescent="0.3">
      <c r="A30" s="254" t="s">
        <v>517</v>
      </c>
      <c r="B30" s="1291" t="s">
        <v>518</v>
      </c>
      <c r="C30" s="1350"/>
      <c r="D30" s="435" t="s">
        <v>516</v>
      </c>
      <c r="E30" s="238">
        <f>розрахунок!D14</f>
        <v>62</v>
      </c>
      <c r="F30" s="251">
        <v>2</v>
      </c>
      <c r="G30" s="1351">
        <v>8.8000000000000007</v>
      </c>
      <c r="H30" s="1351"/>
      <c r="I30" s="249">
        <f>E30/100*F30*G30</f>
        <v>10.912000000000001</v>
      </c>
      <c r="J30" s="228">
        <v>78</v>
      </c>
      <c r="K30" s="228" t="s">
        <v>519</v>
      </c>
    </row>
    <row r="31" spans="1:11" ht="23.4" customHeight="1" x14ac:dyDescent="0.3">
      <c r="A31" s="254" t="s">
        <v>520</v>
      </c>
      <c r="B31" s="1291" t="s">
        <v>521</v>
      </c>
      <c r="C31" s="1350"/>
      <c r="D31" s="435" t="s">
        <v>512</v>
      </c>
      <c r="E31" s="238">
        <f>розрахунок!D13</f>
        <v>510</v>
      </c>
      <c r="F31" s="251">
        <v>2</v>
      </c>
      <c r="G31" s="1351">
        <v>2.2000000000000002</v>
      </c>
      <c r="H31" s="1351"/>
      <c r="I31" s="249">
        <f>E31/100*F31*G31</f>
        <v>22.44</v>
      </c>
      <c r="J31" s="228">
        <v>79</v>
      </c>
      <c r="K31" s="228" t="s">
        <v>522</v>
      </c>
    </row>
    <row r="32" spans="1:11" x14ac:dyDescent="0.3">
      <c r="A32" s="254" t="s">
        <v>523</v>
      </c>
      <c r="B32" s="1308" t="s">
        <v>524</v>
      </c>
      <c r="C32" s="1193"/>
      <c r="D32" s="1193"/>
      <c r="E32" s="1193"/>
      <c r="F32" s="1193"/>
      <c r="G32" s="1193"/>
      <c r="H32" s="1194"/>
      <c r="I32" s="436"/>
      <c r="J32" s="437"/>
      <c r="K32" s="169"/>
    </row>
    <row r="33" spans="1:11" x14ac:dyDescent="0.3">
      <c r="A33" s="254" t="s">
        <v>525</v>
      </c>
      <c r="B33" s="1308" t="s">
        <v>526</v>
      </c>
      <c r="C33" s="1357"/>
      <c r="D33" s="1358"/>
      <c r="E33" s="1358"/>
      <c r="F33" s="1358"/>
      <c r="G33" s="1358"/>
      <c r="H33" s="1359"/>
      <c r="I33" s="249"/>
      <c r="J33" s="228"/>
      <c r="K33" s="228"/>
    </row>
    <row r="34" spans="1:11" ht="25.8" customHeight="1" x14ac:dyDescent="0.3">
      <c r="A34" s="254" t="s">
        <v>527</v>
      </c>
      <c r="B34" s="1356" t="s">
        <v>528</v>
      </c>
      <c r="C34" s="1356"/>
      <c r="D34" s="435" t="s">
        <v>512</v>
      </c>
      <c r="E34" s="252">
        <f>розрахунок!D11</f>
        <v>1338</v>
      </c>
      <c r="F34" s="405">
        <v>1</v>
      </c>
      <c r="G34" s="1191">
        <v>0.48</v>
      </c>
      <c r="H34" s="1191"/>
      <c r="I34" s="249">
        <f>E34*F34/100*G34</f>
        <v>6.4224000000000006</v>
      </c>
      <c r="J34" s="228">
        <v>81</v>
      </c>
      <c r="K34" s="228" t="s">
        <v>529</v>
      </c>
    </row>
    <row r="35" spans="1:11" ht="27.6" customHeight="1" x14ac:dyDescent="0.3">
      <c r="A35" s="254" t="s">
        <v>530</v>
      </c>
      <c r="B35" s="1356" t="s">
        <v>531</v>
      </c>
      <c r="C35" s="1356"/>
      <c r="D35" s="435" t="s">
        <v>512</v>
      </c>
      <c r="E35" s="252">
        <f>розрахунок!D11</f>
        <v>1338</v>
      </c>
      <c r="F35" s="405">
        <v>1</v>
      </c>
      <c r="G35" s="1191">
        <v>1.73</v>
      </c>
      <c r="H35" s="1191"/>
      <c r="I35" s="249">
        <f>E35*F35/100*G35</f>
        <v>23.147400000000001</v>
      </c>
      <c r="J35" s="228">
        <v>81</v>
      </c>
      <c r="K35" s="228" t="s">
        <v>532</v>
      </c>
    </row>
    <row r="36" spans="1:11" ht="24" customHeight="1" x14ac:dyDescent="0.3">
      <c r="A36" s="254" t="s">
        <v>533</v>
      </c>
      <c r="B36" s="1291" t="s">
        <v>534</v>
      </c>
      <c r="C36" s="1350"/>
      <c r="D36" s="435" t="s">
        <v>512</v>
      </c>
      <c r="E36" s="238">
        <f>розрахунок!D11</f>
        <v>1338</v>
      </c>
      <c r="F36" s="251">
        <v>1</v>
      </c>
      <c r="G36" s="1351">
        <v>2.2000000000000002</v>
      </c>
      <c r="H36" s="1351"/>
      <c r="I36" s="249">
        <f>E36/100*F36*G36</f>
        <v>29.436000000000003</v>
      </c>
      <c r="J36" s="228">
        <v>82</v>
      </c>
      <c r="K36" s="228" t="s">
        <v>535</v>
      </c>
    </row>
    <row r="37" spans="1:11" ht="16.8" customHeight="1" x14ac:dyDescent="0.3">
      <c r="A37" s="254" t="s">
        <v>536</v>
      </c>
      <c r="B37" s="1291" t="s">
        <v>537</v>
      </c>
      <c r="C37" s="1350"/>
      <c r="D37" s="435" t="s">
        <v>538</v>
      </c>
      <c r="E37" s="238">
        <f>розрахунок!D15</f>
        <v>2</v>
      </c>
      <c r="F37" s="251">
        <v>1</v>
      </c>
      <c r="G37" s="1351">
        <v>1.5</v>
      </c>
      <c r="H37" s="1351"/>
      <c r="I37" s="249">
        <f>E37*F37*G37</f>
        <v>3</v>
      </c>
      <c r="J37" s="228">
        <v>82</v>
      </c>
      <c r="K37" s="228" t="s">
        <v>539</v>
      </c>
    </row>
    <row r="38" spans="1:11" ht="26.4" hidden="1" customHeight="1" x14ac:dyDescent="0.3">
      <c r="A38" s="254"/>
      <c r="B38" s="1291" t="s">
        <v>540</v>
      </c>
      <c r="C38" s="1350"/>
      <c r="D38" s="435" t="s">
        <v>165</v>
      </c>
      <c r="E38" s="238">
        <f>[1]Таблица_Характеристика!M77*0</f>
        <v>0</v>
      </c>
      <c r="F38" s="251">
        <v>1</v>
      </c>
      <c r="G38" s="1351">
        <v>1.2</v>
      </c>
      <c r="H38" s="1351"/>
      <c r="I38" s="249">
        <f>E38*F38*G38</f>
        <v>0</v>
      </c>
      <c r="J38" s="228">
        <v>82</v>
      </c>
      <c r="K38" s="228" t="s">
        <v>541</v>
      </c>
    </row>
    <row r="39" spans="1:11" hidden="1" x14ac:dyDescent="0.3">
      <c r="A39" s="254" t="s">
        <v>542</v>
      </c>
      <c r="B39" s="1308" t="s">
        <v>543</v>
      </c>
      <c r="C39" s="1357"/>
      <c r="D39" s="1358"/>
      <c r="E39" s="1358"/>
      <c r="F39" s="1358"/>
      <c r="G39" s="1358"/>
      <c r="H39" s="1359"/>
      <c r="I39" s="249"/>
      <c r="J39" s="228"/>
      <c r="K39" s="228"/>
    </row>
    <row r="40" spans="1:11" ht="31.8" hidden="1" customHeight="1" x14ac:dyDescent="0.3">
      <c r="A40" s="254"/>
      <c r="B40" s="1291" t="s">
        <v>544</v>
      </c>
      <c r="C40" s="1350"/>
      <c r="D40" s="435" t="s">
        <v>512</v>
      </c>
      <c r="E40" s="238"/>
      <c r="F40" s="238">
        <v>0.25</v>
      </c>
      <c r="G40" s="1351">
        <v>6.2</v>
      </c>
      <c r="H40" s="1351"/>
      <c r="I40" s="249">
        <f>E40/100*F40*G40</f>
        <v>0</v>
      </c>
      <c r="J40" s="228">
        <v>83</v>
      </c>
      <c r="K40" s="228" t="s">
        <v>545</v>
      </c>
    </row>
    <row r="41" spans="1:11" ht="22.2" hidden="1" customHeight="1" x14ac:dyDescent="0.3">
      <c r="A41" s="254"/>
      <c r="B41" s="1291" t="s">
        <v>546</v>
      </c>
      <c r="C41" s="1350"/>
      <c r="D41" s="435" t="s">
        <v>512</v>
      </c>
      <c r="E41" s="438"/>
      <c r="F41" s="238">
        <v>0.25</v>
      </c>
      <c r="G41" s="1351">
        <v>8.4</v>
      </c>
      <c r="H41" s="1351"/>
      <c r="I41" s="249">
        <f>E41/100*F41*G41</f>
        <v>0</v>
      </c>
      <c r="J41" s="228">
        <v>83</v>
      </c>
      <c r="K41" s="228" t="s">
        <v>547</v>
      </c>
    </row>
    <row r="42" spans="1:11" ht="24.6" hidden="1" customHeight="1" x14ac:dyDescent="0.3">
      <c r="A42" s="254"/>
      <c r="B42" s="1291" t="s">
        <v>548</v>
      </c>
      <c r="C42" s="1350"/>
      <c r="D42" s="435" t="s">
        <v>165</v>
      </c>
      <c r="E42" s="238"/>
      <c r="F42" s="238">
        <v>0.25</v>
      </c>
      <c r="G42" s="1351">
        <v>2.1</v>
      </c>
      <c r="H42" s="1351"/>
      <c r="I42" s="249">
        <f t="shared" ref="I42:I49" si="1">E42/100*F42*G42</f>
        <v>0</v>
      </c>
      <c r="J42" s="228">
        <v>83</v>
      </c>
      <c r="K42" s="228" t="s">
        <v>549</v>
      </c>
    </row>
    <row r="43" spans="1:11" ht="22.8" hidden="1" customHeight="1" x14ac:dyDescent="0.3">
      <c r="A43" s="254"/>
      <c r="B43" s="1291" t="s">
        <v>550</v>
      </c>
      <c r="C43" s="1350"/>
      <c r="D43" s="435" t="s">
        <v>551</v>
      </c>
      <c r="E43" s="238"/>
      <c r="F43" s="251"/>
      <c r="G43" s="1351"/>
      <c r="H43" s="1351"/>
      <c r="I43" s="249">
        <f t="shared" si="1"/>
        <v>0</v>
      </c>
      <c r="J43" s="228"/>
      <c r="K43" s="228"/>
    </row>
    <row r="44" spans="1:11" ht="15" customHeight="1" x14ac:dyDescent="0.3">
      <c r="A44" s="254"/>
      <c r="B44" s="1360"/>
      <c r="C44" s="1361"/>
      <c r="D44" s="1361"/>
      <c r="E44" s="1361"/>
      <c r="F44" s="1361"/>
      <c r="G44" s="1361"/>
      <c r="H44" s="1362"/>
      <c r="I44" s="249"/>
      <c r="J44" s="228"/>
      <c r="K44" s="228"/>
    </row>
    <row r="45" spans="1:11" ht="20.399999999999999" hidden="1" customHeight="1" x14ac:dyDescent="0.3">
      <c r="A45" s="254"/>
      <c r="B45" s="1311" t="s">
        <v>553</v>
      </c>
      <c r="C45" s="1363"/>
      <c r="D45" s="435" t="s">
        <v>512</v>
      </c>
      <c r="E45" s="238"/>
      <c r="F45" s="238">
        <v>0.25</v>
      </c>
      <c r="G45" s="1364">
        <v>21.3</v>
      </c>
      <c r="H45" s="1365"/>
      <c r="I45" s="249">
        <f t="shared" si="1"/>
        <v>0</v>
      </c>
      <c r="J45" s="228">
        <v>86</v>
      </c>
      <c r="K45" s="228" t="s">
        <v>554</v>
      </c>
    </row>
    <row r="46" spans="1:11" ht="25.8" hidden="1" customHeight="1" x14ac:dyDescent="0.3">
      <c r="A46" s="254"/>
      <c r="B46" s="1311" t="s">
        <v>555</v>
      </c>
      <c r="C46" s="1363"/>
      <c r="D46" s="435" t="s">
        <v>512</v>
      </c>
      <c r="E46" s="238"/>
      <c r="F46" s="238">
        <v>0.25</v>
      </c>
      <c r="G46" s="1364">
        <v>23.2</v>
      </c>
      <c r="H46" s="1365"/>
      <c r="I46" s="249">
        <f t="shared" si="1"/>
        <v>0</v>
      </c>
      <c r="J46" s="228">
        <v>86</v>
      </c>
      <c r="K46" s="228" t="s">
        <v>556</v>
      </c>
    </row>
    <row r="47" spans="1:11" ht="21.6" hidden="1" customHeight="1" x14ac:dyDescent="0.3">
      <c r="A47" s="254"/>
      <c r="B47" s="1311" t="s">
        <v>557</v>
      </c>
      <c r="C47" s="1363"/>
      <c r="D47" s="435" t="s">
        <v>512</v>
      </c>
      <c r="E47" s="238"/>
      <c r="F47" s="238">
        <v>0.25</v>
      </c>
      <c r="G47" s="1374">
        <v>28</v>
      </c>
      <c r="H47" s="1375"/>
      <c r="I47" s="249">
        <f t="shared" si="1"/>
        <v>0</v>
      </c>
      <c r="J47" s="228">
        <v>86</v>
      </c>
      <c r="K47" s="228" t="s">
        <v>558</v>
      </c>
    </row>
    <row r="48" spans="1:11" ht="21" customHeight="1" x14ac:dyDescent="0.3">
      <c r="A48" s="254" t="s">
        <v>829</v>
      </c>
      <c r="B48" s="1293" t="s">
        <v>559</v>
      </c>
      <c r="C48" s="1376"/>
      <c r="D48" s="435" t="s">
        <v>538</v>
      </c>
      <c r="E48" s="251">
        <f>розрахунок!D16</f>
        <v>2</v>
      </c>
      <c r="F48" s="251">
        <v>1</v>
      </c>
      <c r="G48" s="1377">
        <v>0.72</v>
      </c>
      <c r="H48" s="1378"/>
      <c r="I48" s="249">
        <f>E48/1*F48*G48</f>
        <v>1.44</v>
      </c>
      <c r="J48" s="228">
        <v>87</v>
      </c>
      <c r="K48" s="228" t="s">
        <v>560</v>
      </c>
    </row>
    <row r="49" spans="1:11" hidden="1" x14ac:dyDescent="0.3">
      <c r="A49" s="439"/>
      <c r="B49" s="1366"/>
      <c r="C49" s="1367"/>
      <c r="D49" s="440"/>
      <c r="E49" s="441"/>
      <c r="F49" s="441"/>
      <c r="G49" s="1368"/>
      <c r="H49" s="1369"/>
      <c r="I49" s="442">
        <f t="shared" si="1"/>
        <v>0</v>
      </c>
      <c r="J49" s="443"/>
      <c r="K49" s="443"/>
    </row>
    <row r="50" spans="1:11" ht="27" hidden="1" customHeight="1" x14ac:dyDescent="0.3">
      <c r="A50" s="439" t="s">
        <v>533</v>
      </c>
      <c r="B50" s="1370" t="s">
        <v>561</v>
      </c>
      <c r="C50" s="1371"/>
      <c r="D50" s="440" t="s">
        <v>562</v>
      </c>
      <c r="E50" s="443"/>
      <c r="F50" s="444"/>
      <c r="G50" s="1372">
        <v>0.45</v>
      </c>
      <c r="H50" s="1373"/>
      <c r="I50" s="442">
        <f>E50*F50*G50</f>
        <v>0</v>
      </c>
      <c r="J50" s="443">
        <v>99</v>
      </c>
      <c r="K50" s="443" t="s">
        <v>563</v>
      </c>
    </row>
    <row r="51" spans="1:11" ht="28.2" hidden="1" customHeight="1" x14ac:dyDescent="0.3">
      <c r="A51" s="439" t="s">
        <v>536</v>
      </c>
      <c r="B51" s="1370" t="s">
        <v>564</v>
      </c>
      <c r="C51" s="1371"/>
      <c r="D51" s="440" t="s">
        <v>565</v>
      </c>
      <c r="E51" s="441"/>
      <c r="F51" s="444"/>
      <c r="G51" s="1372">
        <v>3.3</v>
      </c>
      <c r="H51" s="1373"/>
      <c r="I51" s="442">
        <f>E51/10*F51*G51</f>
        <v>0</v>
      </c>
      <c r="J51" s="443">
        <v>106</v>
      </c>
      <c r="K51" s="443" t="s">
        <v>566</v>
      </c>
    </row>
    <row r="52" spans="1:11" ht="34.200000000000003" hidden="1" customHeight="1" x14ac:dyDescent="0.3">
      <c r="A52" s="439"/>
      <c r="B52" s="1370" t="s">
        <v>567</v>
      </c>
      <c r="C52" s="1371"/>
      <c r="D52" s="440" t="s">
        <v>551</v>
      </c>
      <c r="E52" s="443"/>
      <c r="F52" s="444"/>
      <c r="G52" s="1372"/>
      <c r="H52" s="1373"/>
      <c r="I52" s="442">
        <f t="shared" ref="I52:I64" si="2">E52/100*F52*G52</f>
        <v>0</v>
      </c>
      <c r="J52" s="443"/>
      <c r="K52" s="443"/>
    </row>
    <row r="53" spans="1:11" ht="22.8" hidden="1" customHeight="1" x14ac:dyDescent="0.3">
      <c r="A53" s="439"/>
      <c r="B53" s="1370" t="s">
        <v>568</v>
      </c>
      <c r="C53" s="1371"/>
      <c r="D53" s="440" t="s">
        <v>551</v>
      </c>
      <c r="E53" s="443"/>
      <c r="F53" s="444"/>
      <c r="G53" s="1372"/>
      <c r="H53" s="1373"/>
      <c r="I53" s="442">
        <f t="shared" si="2"/>
        <v>0</v>
      </c>
      <c r="J53" s="443"/>
      <c r="K53" s="443"/>
    </row>
    <row r="54" spans="1:11" hidden="1" x14ac:dyDescent="0.3">
      <c r="A54" s="439"/>
      <c r="B54" s="1379" t="s">
        <v>569</v>
      </c>
      <c r="C54" s="1380"/>
      <c r="D54" s="1380"/>
      <c r="E54" s="1380"/>
      <c r="F54" s="1380"/>
      <c r="G54" s="1380"/>
      <c r="H54" s="1381"/>
      <c r="I54" s="442">
        <f t="shared" si="2"/>
        <v>0</v>
      </c>
      <c r="J54" s="443">
        <v>84</v>
      </c>
      <c r="K54" s="443"/>
    </row>
    <row r="55" spans="1:11" ht="25.2" hidden="1" customHeight="1" x14ac:dyDescent="0.3">
      <c r="A55" s="439"/>
      <c r="B55" s="1370" t="s">
        <v>570</v>
      </c>
      <c r="C55" s="1371"/>
      <c r="D55" s="440" t="s">
        <v>165</v>
      </c>
      <c r="E55" s="443"/>
      <c r="F55" s="444"/>
      <c r="G55" s="1372">
        <v>0.5</v>
      </c>
      <c r="H55" s="1373"/>
      <c r="I55" s="442">
        <f>E55*F55*G55</f>
        <v>0</v>
      </c>
      <c r="J55" s="443">
        <v>84</v>
      </c>
      <c r="K55" s="443" t="s">
        <v>571</v>
      </c>
    </row>
    <row r="56" spans="1:11" ht="13.2" hidden="1" customHeight="1" x14ac:dyDescent="0.3">
      <c r="A56" s="439"/>
      <c r="B56" s="1370" t="s">
        <v>572</v>
      </c>
      <c r="C56" s="1371"/>
      <c r="D56" s="440" t="s">
        <v>165</v>
      </c>
      <c r="E56" s="443"/>
      <c r="F56" s="444"/>
      <c r="G56" s="1372">
        <v>0.16</v>
      </c>
      <c r="H56" s="1373"/>
      <c r="I56" s="442">
        <f>E56*F56*G56</f>
        <v>0</v>
      </c>
      <c r="J56" s="443">
        <v>84</v>
      </c>
      <c r="K56" s="443" t="s">
        <v>573</v>
      </c>
    </row>
    <row r="57" spans="1:11" ht="23.4" hidden="1" customHeight="1" x14ac:dyDescent="0.3">
      <c r="A57" s="439" t="s">
        <v>552</v>
      </c>
      <c r="B57" s="1370" t="s">
        <v>574</v>
      </c>
      <c r="C57" s="1371"/>
      <c r="D57" s="440" t="s">
        <v>512</v>
      </c>
      <c r="E57" s="441"/>
      <c r="F57" s="444"/>
      <c r="G57" s="1372">
        <v>0.48</v>
      </c>
      <c r="H57" s="1373"/>
      <c r="I57" s="442">
        <f t="shared" si="2"/>
        <v>0</v>
      </c>
      <c r="J57" s="443">
        <v>81</v>
      </c>
      <c r="K57" s="443" t="s">
        <v>529</v>
      </c>
    </row>
    <row r="58" spans="1:11" ht="21" hidden="1" customHeight="1" x14ac:dyDescent="0.3">
      <c r="A58" s="439" t="s">
        <v>575</v>
      </c>
      <c r="B58" s="1370" t="s">
        <v>576</v>
      </c>
      <c r="C58" s="1371"/>
      <c r="D58" s="440" t="s">
        <v>512</v>
      </c>
      <c r="E58" s="441"/>
      <c r="F58" s="444"/>
      <c r="G58" s="1372">
        <v>1.73</v>
      </c>
      <c r="H58" s="1373"/>
      <c r="I58" s="442">
        <f>E58/100*F58*G58</f>
        <v>0</v>
      </c>
      <c r="J58" s="443">
        <v>81</v>
      </c>
      <c r="K58" s="443" t="s">
        <v>532</v>
      </c>
    </row>
    <row r="59" spans="1:11" ht="30.6" hidden="1" customHeight="1" x14ac:dyDescent="0.3">
      <c r="A59" s="439" t="s">
        <v>577</v>
      </c>
      <c r="B59" s="1370" t="s">
        <v>578</v>
      </c>
      <c r="C59" s="1371"/>
      <c r="D59" s="440" t="s">
        <v>579</v>
      </c>
      <c r="E59" s="444"/>
      <c r="F59" s="444"/>
      <c r="G59" s="1372">
        <v>0.3</v>
      </c>
      <c r="H59" s="1373"/>
      <c r="I59" s="442">
        <f>E59*F59*G59</f>
        <v>0</v>
      </c>
      <c r="J59" s="443">
        <v>85</v>
      </c>
      <c r="K59" s="443" t="s">
        <v>580</v>
      </c>
    </row>
    <row r="60" spans="1:11" ht="24" hidden="1" customHeight="1" x14ac:dyDescent="0.3">
      <c r="A60" s="439"/>
      <c r="B60" s="1370" t="s">
        <v>581</v>
      </c>
      <c r="C60" s="1371"/>
      <c r="D60" s="440" t="s">
        <v>551</v>
      </c>
      <c r="E60" s="443"/>
      <c r="F60" s="441"/>
      <c r="G60" s="1372"/>
      <c r="H60" s="1373"/>
      <c r="I60" s="442">
        <f t="shared" si="2"/>
        <v>0</v>
      </c>
      <c r="J60" s="443"/>
      <c r="K60" s="443"/>
    </row>
    <row r="61" spans="1:11" ht="25.2" customHeight="1" x14ac:dyDescent="0.3">
      <c r="A61" s="254" t="s">
        <v>552</v>
      </c>
      <c r="B61" s="1291" t="s">
        <v>582</v>
      </c>
      <c r="C61" s="1350"/>
      <c r="D61" s="435" t="s">
        <v>583</v>
      </c>
      <c r="E61" s="251">
        <f>розрахунок!D17</f>
        <v>2</v>
      </c>
      <c r="F61" s="251">
        <v>2</v>
      </c>
      <c r="G61" s="1351">
        <v>0.48</v>
      </c>
      <c r="H61" s="1351"/>
      <c r="I61" s="249">
        <f>E61*F61*G61</f>
        <v>1.92</v>
      </c>
      <c r="J61" s="228">
        <v>93</v>
      </c>
      <c r="K61" s="228" t="s">
        <v>584</v>
      </c>
    </row>
    <row r="62" spans="1:11" ht="40.200000000000003" hidden="1" customHeight="1" x14ac:dyDescent="0.3">
      <c r="A62" s="439"/>
      <c r="B62" s="1382" t="s">
        <v>585</v>
      </c>
      <c r="C62" s="1383"/>
      <c r="D62" s="440" t="s">
        <v>551</v>
      </c>
      <c r="E62" s="443"/>
      <c r="F62" s="444">
        <v>1</v>
      </c>
      <c r="G62" s="1384"/>
      <c r="H62" s="1384"/>
      <c r="I62" s="442">
        <f t="shared" si="2"/>
        <v>0</v>
      </c>
      <c r="J62" s="443"/>
      <c r="K62" s="443"/>
    </row>
    <row r="63" spans="1:11" ht="17.399999999999999" hidden="1" customHeight="1" x14ac:dyDescent="0.3">
      <c r="A63" s="439"/>
      <c r="B63" s="1382" t="s">
        <v>586</v>
      </c>
      <c r="C63" s="1383"/>
      <c r="D63" s="440" t="s">
        <v>551</v>
      </c>
      <c r="E63" s="443"/>
      <c r="F63" s="441">
        <v>0.25</v>
      </c>
      <c r="G63" s="1384"/>
      <c r="H63" s="1384"/>
      <c r="I63" s="442">
        <f t="shared" si="2"/>
        <v>0</v>
      </c>
      <c r="J63" s="443"/>
      <c r="K63" s="443"/>
    </row>
    <row r="64" spans="1:11" ht="27.6" hidden="1" customHeight="1" x14ac:dyDescent="0.3">
      <c r="A64" s="439"/>
      <c r="B64" s="1382" t="s">
        <v>587</v>
      </c>
      <c r="C64" s="1383"/>
      <c r="D64" s="440" t="s">
        <v>551</v>
      </c>
      <c r="E64" s="443"/>
      <c r="F64" s="444"/>
      <c r="G64" s="1384"/>
      <c r="H64" s="1384"/>
      <c r="I64" s="442">
        <f t="shared" si="2"/>
        <v>0</v>
      </c>
      <c r="J64" s="443"/>
      <c r="K64" s="443"/>
    </row>
    <row r="65" spans="1:11" hidden="1" x14ac:dyDescent="0.3">
      <c r="A65" s="445" t="s">
        <v>588</v>
      </c>
      <c r="B65" s="1379" t="s">
        <v>589</v>
      </c>
      <c r="C65" s="1385"/>
      <c r="D65" s="1385"/>
      <c r="E65" s="1385"/>
      <c r="F65" s="1385"/>
      <c r="G65" s="1385"/>
      <c r="H65" s="1386"/>
      <c r="I65" s="446"/>
      <c r="J65" s="447"/>
      <c r="K65" s="447"/>
    </row>
    <row r="66" spans="1:11" hidden="1" x14ac:dyDescent="0.3">
      <c r="A66" s="439" t="s">
        <v>590</v>
      </c>
      <c r="B66" s="1379" t="s">
        <v>591</v>
      </c>
      <c r="C66" s="1387"/>
      <c r="D66" s="1388"/>
      <c r="E66" s="1388"/>
      <c r="F66" s="1388"/>
      <c r="G66" s="1388"/>
      <c r="H66" s="1389"/>
      <c r="I66" s="442"/>
      <c r="J66" s="443"/>
      <c r="K66" s="443"/>
    </row>
    <row r="67" spans="1:11" ht="25.8" hidden="1" customHeight="1" x14ac:dyDescent="0.3">
      <c r="A67" s="439"/>
      <c r="B67" s="1382" t="s">
        <v>534</v>
      </c>
      <c r="C67" s="1383"/>
      <c r="D67" s="440" t="s">
        <v>512</v>
      </c>
      <c r="E67" s="441">
        <f>[1]Таблица_Характеристика!M87</f>
        <v>0</v>
      </c>
      <c r="F67" s="444"/>
      <c r="G67" s="1384">
        <v>2.2000000000000002</v>
      </c>
      <c r="H67" s="1384"/>
      <c r="I67" s="442">
        <f>E67/100*F67*G67</f>
        <v>0</v>
      </c>
      <c r="J67" s="443">
        <v>82</v>
      </c>
      <c r="K67" s="443" t="s">
        <v>535</v>
      </c>
    </row>
    <row r="68" spans="1:11" ht="22.2" hidden="1" customHeight="1" x14ac:dyDescent="0.3">
      <c r="A68" s="439"/>
      <c r="B68" s="1382" t="s">
        <v>537</v>
      </c>
      <c r="C68" s="1383"/>
      <c r="D68" s="440" t="s">
        <v>165</v>
      </c>
      <c r="E68" s="441"/>
      <c r="F68" s="444">
        <v>2</v>
      </c>
      <c r="G68" s="1384">
        <v>1.5</v>
      </c>
      <c r="H68" s="1384"/>
      <c r="I68" s="442"/>
      <c r="J68" s="443"/>
      <c r="K68" s="443"/>
    </row>
    <row r="69" spans="1:11" hidden="1" x14ac:dyDescent="0.3">
      <c r="A69" s="439"/>
      <c r="B69" s="1382" t="s">
        <v>592</v>
      </c>
      <c r="C69" s="1383"/>
      <c r="D69" s="440" t="s">
        <v>551</v>
      </c>
      <c r="E69" s="443"/>
      <c r="F69" s="444">
        <v>2</v>
      </c>
      <c r="G69" s="1384"/>
      <c r="H69" s="1384"/>
      <c r="I69" s="442">
        <f>E69/100*F69*G69</f>
        <v>0</v>
      </c>
      <c r="J69" s="443"/>
      <c r="K69" s="443"/>
    </row>
    <row r="70" spans="1:11" x14ac:dyDescent="0.3">
      <c r="A70" s="254" t="s">
        <v>575</v>
      </c>
      <c r="B70" s="1308" t="s">
        <v>593</v>
      </c>
      <c r="C70" s="1357"/>
      <c r="D70" s="1358"/>
      <c r="E70" s="1358"/>
      <c r="F70" s="1358"/>
      <c r="G70" s="1358"/>
      <c r="H70" s="1359"/>
      <c r="I70" s="249"/>
      <c r="J70" s="228"/>
      <c r="K70" s="228"/>
    </row>
    <row r="71" spans="1:11" ht="24.6" customHeight="1" x14ac:dyDescent="0.3">
      <c r="A71" s="254"/>
      <c r="B71" s="1291" t="s">
        <v>594</v>
      </c>
      <c r="C71" s="1350"/>
      <c r="D71" s="435" t="s">
        <v>562</v>
      </c>
      <c r="E71" s="441">
        <v>5</v>
      </c>
      <c r="F71" s="444">
        <v>1</v>
      </c>
      <c r="G71" s="1351">
        <v>1.4</v>
      </c>
      <c r="H71" s="1351"/>
      <c r="I71" s="249">
        <f>F71*G71*E71</f>
        <v>7</v>
      </c>
      <c r="J71" s="228">
        <v>91</v>
      </c>
      <c r="K71" s="228" t="s">
        <v>595</v>
      </c>
    </row>
    <row r="72" spans="1:11" ht="19.2" hidden="1" customHeight="1" x14ac:dyDescent="0.3">
      <c r="A72" s="254"/>
      <c r="B72" s="1291" t="s">
        <v>596</v>
      </c>
      <c r="C72" s="1350"/>
      <c r="D72" s="435" t="s">
        <v>562</v>
      </c>
      <c r="E72" s="441"/>
      <c r="F72" s="444">
        <v>2</v>
      </c>
      <c r="G72" s="1351">
        <v>1.8</v>
      </c>
      <c r="H72" s="1351"/>
      <c r="I72" s="249">
        <f>F72*G72*E72</f>
        <v>0</v>
      </c>
      <c r="J72" s="228">
        <v>91</v>
      </c>
      <c r="K72" s="228" t="s">
        <v>597</v>
      </c>
    </row>
    <row r="73" spans="1:11" ht="19.8" customHeight="1" x14ac:dyDescent="0.3">
      <c r="A73" s="254"/>
      <c r="B73" s="1390" t="s">
        <v>598</v>
      </c>
      <c r="C73" s="1391"/>
      <c r="D73" s="435" t="s">
        <v>599</v>
      </c>
      <c r="E73" s="441">
        <v>1</v>
      </c>
      <c r="F73" s="444">
        <v>5</v>
      </c>
      <c r="G73" s="1351">
        <v>0.2</v>
      </c>
      <c r="H73" s="1351"/>
      <c r="I73" s="249">
        <f>F73*G73*E73</f>
        <v>1</v>
      </c>
      <c r="J73" s="228">
        <v>91</v>
      </c>
      <c r="K73" s="228" t="s">
        <v>600</v>
      </c>
    </row>
    <row r="74" spans="1:11" ht="24" hidden="1" customHeight="1" x14ac:dyDescent="0.3">
      <c r="A74" s="439"/>
      <c r="B74" s="1382" t="s">
        <v>601</v>
      </c>
      <c r="C74" s="1383"/>
      <c r="D74" s="440" t="s">
        <v>551</v>
      </c>
      <c r="E74" s="443"/>
      <c r="F74" s="441">
        <v>0.25</v>
      </c>
      <c r="G74" s="1384"/>
      <c r="H74" s="1384"/>
      <c r="I74" s="442">
        <f>E74/100*F74*G74</f>
        <v>0</v>
      </c>
      <c r="J74" s="443"/>
      <c r="K74" s="443"/>
    </row>
    <row r="75" spans="1:11" ht="25.8" hidden="1" customHeight="1" x14ac:dyDescent="0.3">
      <c r="A75" s="439"/>
      <c r="B75" s="1382" t="s">
        <v>602</v>
      </c>
      <c r="C75" s="1383"/>
      <c r="D75" s="440" t="s">
        <v>562</v>
      </c>
      <c r="E75" s="443"/>
      <c r="F75" s="444">
        <v>2</v>
      </c>
      <c r="G75" s="1384"/>
      <c r="H75" s="1384"/>
      <c r="I75" s="442">
        <f>E75/100*F75*G75</f>
        <v>0</v>
      </c>
      <c r="J75" s="443">
        <v>99</v>
      </c>
      <c r="K75" s="443" t="s">
        <v>603</v>
      </c>
    </row>
    <row r="76" spans="1:11" ht="21.6" customHeight="1" x14ac:dyDescent="0.3">
      <c r="A76" s="254" t="s">
        <v>577</v>
      </c>
      <c r="B76" s="1293" t="s">
        <v>605</v>
      </c>
      <c r="C76" s="1376"/>
      <c r="D76" s="435" t="s">
        <v>562</v>
      </c>
      <c r="E76" s="251">
        <f>розрахунок!D18</f>
        <v>4</v>
      </c>
      <c r="F76" s="251">
        <v>1</v>
      </c>
      <c r="G76" s="1364">
        <v>0.35</v>
      </c>
      <c r="H76" s="1365"/>
      <c r="I76" s="249">
        <f t="shared" ref="I76:I80" si="3">E76*F76*G76</f>
        <v>1.4</v>
      </c>
      <c r="J76" s="228">
        <v>94</v>
      </c>
      <c r="K76" s="228" t="s">
        <v>606</v>
      </c>
    </row>
    <row r="77" spans="1:11" ht="25.8" customHeight="1" x14ac:dyDescent="0.3">
      <c r="A77" s="254" t="s">
        <v>830</v>
      </c>
      <c r="B77" s="1293" t="s">
        <v>608</v>
      </c>
      <c r="C77" s="1376"/>
      <c r="D77" s="435" t="s">
        <v>562</v>
      </c>
      <c r="E77" s="251">
        <f>розрахунок!D19</f>
        <v>5</v>
      </c>
      <c r="F77" s="251">
        <v>1</v>
      </c>
      <c r="G77" s="1364">
        <v>0.46</v>
      </c>
      <c r="H77" s="1365"/>
      <c r="I77" s="249">
        <f t="shared" si="3"/>
        <v>2.3000000000000003</v>
      </c>
      <c r="J77" s="228">
        <v>96</v>
      </c>
      <c r="K77" s="228" t="s">
        <v>609</v>
      </c>
    </row>
    <row r="78" spans="1:11" ht="22.8" customHeight="1" x14ac:dyDescent="0.3">
      <c r="A78" s="254"/>
      <c r="B78" s="1293" t="s">
        <v>610</v>
      </c>
      <c r="C78" s="1376"/>
      <c r="D78" s="435" t="s">
        <v>562</v>
      </c>
      <c r="E78" s="251">
        <f>розрахунок!D20</f>
        <v>5</v>
      </c>
      <c r="F78" s="251">
        <v>1</v>
      </c>
      <c r="G78" s="1364">
        <v>0.57999999999999996</v>
      </c>
      <c r="H78" s="1365"/>
      <c r="I78" s="249">
        <f t="shared" si="3"/>
        <v>2.9</v>
      </c>
      <c r="J78" s="228">
        <v>96</v>
      </c>
      <c r="K78" s="228" t="s">
        <v>611</v>
      </c>
    </row>
    <row r="79" spans="1:11" ht="27" customHeight="1" x14ac:dyDescent="0.3">
      <c r="A79" s="254" t="s">
        <v>604</v>
      </c>
      <c r="B79" s="1291" t="s">
        <v>602</v>
      </c>
      <c r="C79" s="1350"/>
      <c r="D79" s="435" t="s">
        <v>562</v>
      </c>
      <c r="E79" s="251">
        <f>розрахунок!D21</f>
        <v>4</v>
      </c>
      <c r="F79" s="251">
        <v>1</v>
      </c>
      <c r="G79" s="1351">
        <v>0.35</v>
      </c>
      <c r="H79" s="1351"/>
      <c r="I79" s="249">
        <f t="shared" si="3"/>
        <v>1.4</v>
      </c>
      <c r="J79" s="228">
        <v>99</v>
      </c>
      <c r="K79" s="228" t="s">
        <v>603</v>
      </c>
    </row>
    <row r="80" spans="1:11" x14ac:dyDescent="0.3">
      <c r="A80" s="254" t="s">
        <v>607</v>
      </c>
      <c r="B80" s="1394" t="s">
        <v>612</v>
      </c>
      <c r="C80" s="1394"/>
      <c r="D80" s="435" t="s">
        <v>562</v>
      </c>
      <c r="E80" s="251">
        <f>розрахунок!D22</f>
        <v>2</v>
      </c>
      <c r="F80" s="251">
        <v>1</v>
      </c>
      <c r="G80" s="1351">
        <v>0.6</v>
      </c>
      <c r="H80" s="1351"/>
      <c r="I80" s="249">
        <f t="shared" si="3"/>
        <v>1.2</v>
      </c>
      <c r="J80" s="228">
        <v>101</v>
      </c>
      <c r="K80" s="228" t="s">
        <v>613</v>
      </c>
    </row>
    <row r="81" spans="1:11" hidden="1" x14ac:dyDescent="0.3">
      <c r="A81" s="254" t="s">
        <v>241</v>
      </c>
      <c r="B81" s="1308" t="s">
        <v>614</v>
      </c>
      <c r="C81" s="1357"/>
      <c r="D81" s="1358"/>
      <c r="E81" s="1358"/>
      <c r="F81" s="1358"/>
      <c r="G81" s="1358"/>
      <c r="H81" s="1359"/>
      <c r="I81" s="249"/>
      <c r="J81" s="228"/>
      <c r="K81" s="228"/>
    </row>
    <row r="82" spans="1:11" ht="25.2" hidden="1" customHeight="1" x14ac:dyDescent="0.3">
      <c r="A82" s="254"/>
      <c r="B82" s="1291" t="s">
        <v>615</v>
      </c>
      <c r="C82" s="1350"/>
      <c r="D82" s="435" t="s">
        <v>562</v>
      </c>
      <c r="E82" s="228"/>
      <c r="F82" s="238">
        <v>0.25</v>
      </c>
      <c r="G82" s="1392">
        <v>4</v>
      </c>
      <c r="H82" s="1393"/>
      <c r="I82" s="249">
        <f>E82*F82*G82</f>
        <v>0</v>
      </c>
      <c r="J82" s="228"/>
      <c r="K82" s="228"/>
    </row>
    <row r="83" spans="1:11" x14ac:dyDescent="0.3">
      <c r="A83" s="448"/>
      <c r="B83" s="1395" t="s">
        <v>616</v>
      </c>
      <c r="C83" s="1396"/>
      <c r="D83" s="449"/>
      <c r="E83" s="450"/>
      <c r="F83" s="196"/>
      <c r="G83" s="1187"/>
      <c r="H83" s="1397"/>
      <c r="I83" s="200">
        <f>SUM(I28:I82)</f>
        <v>139.26980000000003</v>
      </c>
      <c r="J83" s="196"/>
      <c r="K83" s="196"/>
    </row>
    <row r="84" spans="1:11" x14ac:dyDescent="0.3">
      <c r="A84" s="1327" t="s">
        <v>833</v>
      </c>
      <c r="B84" s="1327"/>
      <c r="C84" s="1327"/>
      <c r="D84" s="1327"/>
      <c r="E84" s="1327"/>
      <c r="F84" s="1327"/>
      <c r="G84" s="1327"/>
      <c r="H84" s="1327"/>
      <c r="I84" s="1327"/>
      <c r="J84" s="1327"/>
      <c r="K84" s="1327"/>
    </row>
    <row r="85" spans="1:11" ht="104.4" customHeight="1" x14ac:dyDescent="0.3">
      <c r="A85" s="189" t="s">
        <v>227</v>
      </c>
      <c r="B85" s="1329" t="s">
        <v>228</v>
      </c>
      <c r="C85" s="779"/>
      <c r="D85" s="614" t="s">
        <v>327</v>
      </c>
      <c r="E85" s="189" t="s">
        <v>506</v>
      </c>
      <c r="F85" s="190" t="s">
        <v>507</v>
      </c>
      <c r="G85" s="190" t="s">
        <v>850</v>
      </c>
      <c r="H85" s="192" t="s">
        <v>509</v>
      </c>
      <c r="I85" s="192" t="s">
        <v>849</v>
      </c>
      <c r="J85" s="192" t="s">
        <v>234</v>
      </c>
      <c r="K85" s="235"/>
    </row>
    <row r="86" spans="1:11" ht="14.4" customHeight="1" x14ac:dyDescent="0.3">
      <c r="A86" s="226">
        <v>1</v>
      </c>
      <c r="B86" s="1328">
        <v>2</v>
      </c>
      <c r="C86" s="779"/>
      <c r="D86" s="611">
        <v>3</v>
      </c>
      <c r="E86" s="228">
        <v>4</v>
      </c>
      <c r="F86" s="228">
        <v>5</v>
      </c>
      <c r="G86" s="615">
        <v>6</v>
      </c>
      <c r="H86" s="228">
        <v>7</v>
      </c>
      <c r="I86" s="228">
        <v>8</v>
      </c>
      <c r="J86" s="540">
        <v>9</v>
      </c>
      <c r="K86" s="235"/>
    </row>
    <row r="87" spans="1:11" ht="14.4" customHeight="1" x14ac:dyDescent="0.3">
      <c r="A87" s="226">
        <v>1</v>
      </c>
      <c r="B87" s="1330" t="s">
        <v>834</v>
      </c>
      <c r="C87" s="779"/>
      <c r="D87" s="779"/>
      <c r="E87" s="779"/>
      <c r="F87" s="779"/>
      <c r="G87" s="779"/>
      <c r="H87" s="434"/>
      <c r="I87" s="434"/>
      <c r="J87" s="434"/>
      <c r="K87" s="235"/>
    </row>
    <row r="88" spans="1:11" ht="14.4" customHeight="1" x14ac:dyDescent="0.3">
      <c r="A88" s="254" t="s">
        <v>225</v>
      </c>
      <c r="B88" s="1291" t="s">
        <v>835</v>
      </c>
      <c r="C88" s="779"/>
      <c r="D88" s="435" t="s">
        <v>836</v>
      </c>
      <c r="E88" s="251">
        <f>розрахунок!D23</f>
        <v>1</v>
      </c>
      <c r="F88" s="251">
        <v>2</v>
      </c>
      <c r="G88" s="252">
        <v>0.13</v>
      </c>
      <c r="H88" s="249">
        <f>E88*F88*G88</f>
        <v>0.26</v>
      </c>
      <c r="I88" s="228">
        <v>120</v>
      </c>
      <c r="J88" s="540" t="s">
        <v>837</v>
      </c>
      <c r="K88" s="235"/>
    </row>
    <row r="89" spans="1:11" ht="14.4" hidden="1" customHeight="1" x14ac:dyDescent="0.3">
      <c r="A89" s="254" t="s">
        <v>514</v>
      </c>
      <c r="B89" s="1291" t="s">
        <v>838</v>
      </c>
      <c r="C89" s="779"/>
      <c r="D89" s="435" t="s">
        <v>839</v>
      </c>
      <c r="E89" s="238"/>
      <c r="F89" s="251">
        <v>2</v>
      </c>
      <c r="G89" s="252">
        <v>0.1</v>
      </c>
      <c r="H89" s="249">
        <f>E89/10*F89*G89</f>
        <v>0</v>
      </c>
      <c r="I89" s="228">
        <v>120</v>
      </c>
      <c r="J89" s="540" t="s">
        <v>840</v>
      </c>
      <c r="K89" s="235"/>
    </row>
    <row r="90" spans="1:11" ht="14.4" customHeight="1" x14ac:dyDescent="0.3">
      <c r="A90" s="254" t="s">
        <v>778</v>
      </c>
      <c r="B90" s="1291" t="s">
        <v>841</v>
      </c>
      <c r="C90" s="779"/>
      <c r="D90" s="435" t="s">
        <v>842</v>
      </c>
      <c r="E90" s="251">
        <f>Характеристика!C12*Характеристика!E12</f>
        <v>20</v>
      </c>
      <c r="F90" s="251">
        <v>4</v>
      </c>
      <c r="G90" s="252">
        <v>0.05</v>
      </c>
      <c r="H90" s="249">
        <f>E90*F90*G90</f>
        <v>4</v>
      </c>
      <c r="I90" s="228">
        <v>120</v>
      </c>
      <c r="J90" s="540" t="s">
        <v>843</v>
      </c>
      <c r="K90" s="235"/>
    </row>
    <row r="91" spans="1:11" x14ac:dyDescent="0.3">
      <c r="A91" s="254" t="s">
        <v>786</v>
      </c>
      <c r="B91" s="1291" t="s">
        <v>844</v>
      </c>
      <c r="C91" s="779"/>
      <c r="D91" s="435" t="s">
        <v>836</v>
      </c>
      <c r="E91" s="251">
        <f>розрахунок!D24</f>
        <v>20</v>
      </c>
      <c r="F91" s="251">
        <v>4</v>
      </c>
      <c r="G91" s="252">
        <v>0.1</v>
      </c>
      <c r="H91" s="249">
        <f>E91*F91*G91</f>
        <v>8</v>
      </c>
      <c r="I91" s="228">
        <v>120</v>
      </c>
      <c r="J91" s="540" t="s">
        <v>845</v>
      </c>
      <c r="K91" s="235"/>
    </row>
    <row r="92" spans="1:11" x14ac:dyDescent="0.3">
      <c r="A92" s="254" t="s">
        <v>794</v>
      </c>
      <c r="B92" s="1291" t="s">
        <v>846</v>
      </c>
      <c r="C92" s="779"/>
      <c r="D92" s="435" t="s">
        <v>847</v>
      </c>
      <c r="E92" s="251">
        <f>розрахунок!D25</f>
        <v>1</v>
      </c>
      <c r="F92" s="251">
        <v>2</v>
      </c>
      <c r="G92" s="252">
        <v>0.3</v>
      </c>
      <c r="H92" s="249">
        <f>E92*F92*G92</f>
        <v>0.6</v>
      </c>
      <c r="I92" s="228">
        <v>120</v>
      </c>
      <c r="J92" s="540" t="s">
        <v>848</v>
      </c>
      <c r="K92" s="235"/>
    </row>
    <row r="93" spans="1:11" x14ac:dyDescent="0.3">
      <c r="A93" s="254" t="s">
        <v>523</v>
      </c>
      <c r="B93" s="1313" t="s">
        <v>851</v>
      </c>
      <c r="C93" s="1314"/>
      <c r="D93" s="1314"/>
      <c r="E93" s="1314"/>
      <c r="F93" s="1314"/>
      <c r="G93" s="1315"/>
      <c r="H93" s="249"/>
      <c r="I93" s="228"/>
      <c r="J93" s="540"/>
      <c r="K93" s="235"/>
    </row>
    <row r="94" spans="1:11" hidden="1" x14ac:dyDescent="0.3">
      <c r="A94" s="254" t="s">
        <v>525</v>
      </c>
      <c r="B94" s="1291" t="s">
        <v>852</v>
      </c>
      <c r="C94" s="779"/>
      <c r="D94" s="435" t="s">
        <v>853</v>
      </c>
      <c r="E94" s="251">
        <f>[2]Таблица_Характеристика!J135*0</f>
        <v>0</v>
      </c>
      <c r="F94" s="251">
        <v>2</v>
      </c>
      <c r="G94" s="252">
        <v>0.08</v>
      </c>
      <c r="H94" s="249">
        <f>E94*F94*G94</f>
        <v>0</v>
      </c>
      <c r="I94" s="228">
        <v>121</v>
      </c>
      <c r="J94" s="540" t="s">
        <v>854</v>
      </c>
      <c r="K94" s="235"/>
    </row>
    <row r="95" spans="1:11" hidden="1" x14ac:dyDescent="0.3">
      <c r="A95" s="254" t="s">
        <v>530</v>
      </c>
      <c r="B95" s="1291" t="s">
        <v>855</v>
      </c>
      <c r="C95" s="779"/>
      <c r="D95" s="435" t="s">
        <v>565</v>
      </c>
      <c r="E95" s="251">
        <f>[2]Таблица_Характеристика!L140*0</f>
        <v>0</v>
      </c>
      <c r="F95" s="251">
        <v>2</v>
      </c>
      <c r="G95" s="252">
        <v>0.2</v>
      </c>
      <c r="H95" s="249">
        <f>E95/10*F95*G95</f>
        <v>0</v>
      </c>
      <c r="I95" s="228">
        <v>121</v>
      </c>
      <c r="J95" s="540" t="s">
        <v>856</v>
      </c>
      <c r="K95" s="235"/>
    </row>
    <row r="96" spans="1:11" ht="32.4" customHeight="1" x14ac:dyDescent="0.3">
      <c r="A96" s="254" t="s">
        <v>527</v>
      </c>
      <c r="B96" s="1291" t="s">
        <v>857</v>
      </c>
      <c r="C96" s="779"/>
      <c r="D96" s="435" t="s">
        <v>858</v>
      </c>
      <c r="E96" s="251">
        <f>розрахунок!D26</f>
        <v>9</v>
      </c>
      <c r="F96" s="251">
        <v>1</v>
      </c>
      <c r="G96" s="252">
        <v>0.2</v>
      </c>
      <c r="H96" s="249">
        <f>E96*F96*G96</f>
        <v>1.8</v>
      </c>
      <c r="I96" s="228">
        <v>121</v>
      </c>
      <c r="J96" s="228" t="s">
        <v>859</v>
      </c>
      <c r="K96" s="235"/>
    </row>
    <row r="97" spans="1:11" ht="41.4" customHeight="1" x14ac:dyDescent="0.3">
      <c r="A97" s="254" t="s">
        <v>860</v>
      </c>
      <c r="B97" s="1291" t="s">
        <v>861</v>
      </c>
      <c r="C97" s="779"/>
      <c r="D97" s="435" t="s">
        <v>858</v>
      </c>
      <c r="E97" s="251">
        <f>розрахунок!D27</f>
        <v>5</v>
      </c>
      <c r="F97" s="251">
        <v>1</v>
      </c>
      <c r="G97" s="252">
        <v>0.25</v>
      </c>
      <c r="H97" s="249">
        <f>E97*F97*G97</f>
        <v>1.25</v>
      </c>
      <c r="I97" s="228">
        <v>121</v>
      </c>
      <c r="J97" s="228" t="s">
        <v>862</v>
      </c>
      <c r="K97" s="235"/>
    </row>
    <row r="98" spans="1:11" x14ac:dyDescent="0.3">
      <c r="A98" s="254" t="s">
        <v>241</v>
      </c>
      <c r="B98" s="1313" t="s">
        <v>863</v>
      </c>
      <c r="C98" s="1314"/>
      <c r="D98" s="1314"/>
      <c r="E98" s="1314"/>
      <c r="F98" s="1314"/>
      <c r="G98" s="1315"/>
      <c r="H98" s="249"/>
      <c r="I98" s="228"/>
      <c r="J98" s="540"/>
      <c r="K98" s="235"/>
    </row>
    <row r="99" spans="1:11" x14ac:dyDescent="0.3">
      <c r="A99" s="254" t="s">
        <v>864</v>
      </c>
      <c r="B99" s="1291" t="s">
        <v>896</v>
      </c>
      <c r="C99" s="779"/>
      <c r="D99" s="435" t="s">
        <v>847</v>
      </c>
      <c r="E99" s="251">
        <f>розрахунок!D28</f>
        <v>30</v>
      </c>
      <c r="F99" s="616">
        <v>0.5</v>
      </c>
      <c r="G99" s="252">
        <v>0.1</v>
      </c>
      <c r="H99" s="249">
        <f>E99*F99*G99</f>
        <v>1.5</v>
      </c>
      <c r="I99" s="228">
        <v>122</v>
      </c>
      <c r="J99" s="540" t="s">
        <v>865</v>
      </c>
      <c r="K99" s="235"/>
    </row>
    <row r="100" spans="1:11" hidden="1" x14ac:dyDescent="0.3">
      <c r="A100" s="254" t="s">
        <v>866</v>
      </c>
      <c r="B100" s="1291" t="s">
        <v>867</v>
      </c>
      <c r="C100" s="779"/>
      <c r="D100" s="435" t="s">
        <v>847</v>
      </c>
      <c r="E100" s="251"/>
      <c r="F100" s="251">
        <v>1</v>
      </c>
      <c r="G100" s="252">
        <v>0.2</v>
      </c>
      <c r="H100" s="249">
        <f>E100*F100*G100</f>
        <v>0</v>
      </c>
      <c r="I100" s="228">
        <v>122</v>
      </c>
      <c r="J100" s="540" t="s">
        <v>868</v>
      </c>
      <c r="K100" s="235"/>
    </row>
    <row r="101" spans="1:11" x14ac:dyDescent="0.3">
      <c r="A101" s="254" t="s">
        <v>242</v>
      </c>
      <c r="B101" s="1305" t="s">
        <v>869</v>
      </c>
      <c r="C101" s="1306"/>
      <c r="D101" s="1306"/>
      <c r="E101" s="1306"/>
      <c r="F101" s="1306"/>
      <c r="G101" s="1307"/>
      <c r="H101" s="249"/>
      <c r="I101" s="228"/>
      <c r="J101" s="540"/>
      <c r="K101" s="235"/>
    </row>
    <row r="102" spans="1:11" x14ac:dyDescent="0.3">
      <c r="A102" s="254" t="s">
        <v>696</v>
      </c>
      <c r="B102" s="1291" t="s">
        <v>870</v>
      </c>
      <c r="C102" s="779"/>
      <c r="D102" s="435" t="s">
        <v>871</v>
      </c>
      <c r="E102" s="251">
        <f>розрахунок!D29</f>
        <v>2</v>
      </c>
      <c r="F102" s="251">
        <v>1</v>
      </c>
      <c r="G102" s="252">
        <v>2.6</v>
      </c>
      <c r="H102" s="249">
        <f>E102/10*F102*G102</f>
        <v>0.52</v>
      </c>
      <c r="I102" s="228">
        <v>123</v>
      </c>
      <c r="J102" s="540" t="s">
        <v>872</v>
      </c>
      <c r="K102" s="235"/>
    </row>
    <row r="103" spans="1:11" x14ac:dyDescent="0.3">
      <c r="A103" s="254" t="s">
        <v>698</v>
      </c>
      <c r="B103" s="1291" t="s">
        <v>873</v>
      </c>
      <c r="C103" s="779"/>
      <c r="D103" s="435" t="s">
        <v>871</v>
      </c>
      <c r="E103" s="251">
        <f>розрахунок!D30</f>
        <v>2</v>
      </c>
      <c r="F103" s="251">
        <v>1</v>
      </c>
      <c r="G103" s="252">
        <v>2.9</v>
      </c>
      <c r="H103" s="249">
        <f>E103/10*F103*G103</f>
        <v>0.57999999999999996</v>
      </c>
      <c r="I103" s="228">
        <v>123</v>
      </c>
      <c r="J103" s="540" t="s">
        <v>874</v>
      </c>
      <c r="K103" s="235"/>
    </row>
    <row r="104" spans="1:11" x14ac:dyDescent="0.3">
      <c r="A104" s="195" t="s">
        <v>257</v>
      </c>
      <c r="B104" s="1308" t="s">
        <v>875</v>
      </c>
      <c r="C104" s="1309"/>
      <c r="D104" s="1309"/>
      <c r="E104" s="1309"/>
      <c r="F104" s="1309"/>
      <c r="G104" s="1310"/>
      <c r="H104" s="624"/>
      <c r="I104" s="194"/>
      <c r="J104" s="625"/>
      <c r="K104" s="235"/>
    </row>
    <row r="105" spans="1:11" x14ac:dyDescent="0.3">
      <c r="A105" s="254" t="s">
        <v>876</v>
      </c>
      <c r="B105" s="1311" t="s">
        <v>877</v>
      </c>
      <c r="C105" s="1312"/>
      <c r="D105" s="435" t="s">
        <v>847</v>
      </c>
      <c r="E105" s="251">
        <f>розрахунок!D31</f>
        <v>8</v>
      </c>
      <c r="F105" s="251">
        <v>1</v>
      </c>
      <c r="G105" s="252">
        <v>0.25</v>
      </c>
      <c r="H105" s="249">
        <f>E105*F105*G105</f>
        <v>2</v>
      </c>
      <c r="I105" s="228">
        <v>124</v>
      </c>
      <c r="J105" s="540" t="s">
        <v>878</v>
      </c>
      <c r="K105" s="235"/>
    </row>
    <row r="106" spans="1:11" x14ac:dyDescent="0.3">
      <c r="A106" s="254" t="s">
        <v>879</v>
      </c>
      <c r="B106" s="1311" t="s">
        <v>880</v>
      </c>
      <c r="C106" s="1312"/>
      <c r="D106" s="435" t="s">
        <v>847</v>
      </c>
      <c r="E106" s="251">
        <f>розрахунок!D32</f>
        <v>1</v>
      </c>
      <c r="F106" s="251">
        <v>1</v>
      </c>
      <c r="G106" s="252">
        <v>0.55000000000000004</v>
      </c>
      <c r="H106" s="249">
        <f>E106*F106*G106</f>
        <v>0.55000000000000004</v>
      </c>
      <c r="I106" s="228">
        <v>124</v>
      </c>
      <c r="J106" s="540" t="s">
        <v>881</v>
      </c>
      <c r="K106" s="235"/>
    </row>
    <row r="107" spans="1:11" x14ac:dyDescent="0.3">
      <c r="A107" s="254" t="s">
        <v>260</v>
      </c>
      <c r="B107" s="1313" t="s">
        <v>882</v>
      </c>
      <c r="C107" s="1314"/>
      <c r="D107" s="1314"/>
      <c r="E107" s="1314"/>
      <c r="F107" s="1314"/>
      <c r="G107" s="1315"/>
      <c r="H107" s="249"/>
      <c r="I107" s="228"/>
      <c r="J107" s="540"/>
      <c r="K107" s="235"/>
    </row>
    <row r="108" spans="1:11" x14ac:dyDescent="0.3">
      <c r="A108" s="626" t="s">
        <v>883</v>
      </c>
      <c r="B108" s="1291" t="s">
        <v>884</v>
      </c>
      <c r="C108" s="1292"/>
      <c r="D108" s="612" t="s">
        <v>871</v>
      </c>
      <c r="E108" s="627">
        <f>розрахунок!D33</f>
        <v>1</v>
      </c>
      <c r="F108" s="627">
        <v>1</v>
      </c>
      <c r="G108" s="199">
        <v>0.75</v>
      </c>
      <c r="H108" s="249">
        <f>E108/10*F108*G108</f>
        <v>7.5000000000000011E-2</v>
      </c>
      <c r="I108" s="228">
        <v>125</v>
      </c>
      <c r="J108" s="540" t="s">
        <v>885</v>
      </c>
      <c r="K108" s="235"/>
    </row>
    <row r="109" spans="1:11" x14ac:dyDescent="0.3">
      <c r="A109" s="626" t="s">
        <v>886</v>
      </c>
      <c r="B109" s="1291" t="s">
        <v>887</v>
      </c>
      <c r="C109" s="1292"/>
      <c r="D109" s="612" t="s">
        <v>871</v>
      </c>
      <c r="E109" s="627">
        <f>розрахунок!D34</f>
        <v>6</v>
      </c>
      <c r="F109" s="627">
        <v>1</v>
      </c>
      <c r="G109" s="199">
        <v>10.6</v>
      </c>
      <c r="H109" s="249">
        <f>E109/10*F109*G109</f>
        <v>6.3599999999999994</v>
      </c>
      <c r="I109" s="228">
        <v>125</v>
      </c>
      <c r="J109" s="540" t="s">
        <v>888</v>
      </c>
      <c r="K109" s="235"/>
    </row>
    <row r="110" spans="1:11" x14ac:dyDescent="0.3">
      <c r="A110" s="626" t="s">
        <v>889</v>
      </c>
      <c r="B110" s="1291" t="s">
        <v>890</v>
      </c>
      <c r="C110" s="1292"/>
      <c r="D110" s="612" t="s">
        <v>871</v>
      </c>
      <c r="E110" s="627">
        <f>розрахунок!D35</f>
        <v>0</v>
      </c>
      <c r="F110" s="627">
        <v>1</v>
      </c>
      <c r="G110" s="199">
        <v>3.1</v>
      </c>
      <c r="H110" s="249">
        <f>E110/10*F110*G110</f>
        <v>0</v>
      </c>
      <c r="I110" s="228">
        <v>125</v>
      </c>
      <c r="J110" s="540" t="s">
        <v>891</v>
      </c>
      <c r="K110" s="235"/>
    </row>
    <row r="111" spans="1:11" x14ac:dyDescent="0.3">
      <c r="A111" s="626" t="s">
        <v>892</v>
      </c>
      <c r="B111" s="1293" t="s">
        <v>893</v>
      </c>
      <c r="C111" s="1294"/>
      <c r="D111" s="628" t="s">
        <v>894</v>
      </c>
      <c r="E111" s="627">
        <f>розрахунок!D36</f>
        <v>100</v>
      </c>
      <c r="F111" s="627">
        <v>1</v>
      </c>
      <c r="G111" s="548">
        <v>5.6</v>
      </c>
      <c r="H111" s="249">
        <f>E111/10*F111*G111</f>
        <v>56</v>
      </c>
      <c r="I111" s="228">
        <v>131</v>
      </c>
      <c r="J111" s="228" t="s">
        <v>895</v>
      </c>
      <c r="K111" s="235"/>
    </row>
    <row r="112" spans="1:11" x14ac:dyDescent="0.3">
      <c r="A112" s="254"/>
      <c r="B112" s="1295" t="s">
        <v>616</v>
      </c>
      <c r="C112" s="1218"/>
      <c r="D112" s="629"/>
      <c r="E112" s="219"/>
      <c r="F112" s="218"/>
      <c r="G112" s="630"/>
      <c r="H112" s="217">
        <f>SUM(H88:H111)</f>
        <v>83.495000000000005</v>
      </c>
      <c r="I112" s="228"/>
      <c r="J112" s="540"/>
      <c r="K112" s="235"/>
    </row>
    <row r="113" spans="1:11" x14ac:dyDescent="0.3">
      <c r="A113" s="617"/>
      <c r="B113" s="618"/>
      <c r="C113" s="37"/>
      <c r="D113" s="619"/>
      <c r="E113" s="620"/>
      <c r="F113" s="620"/>
      <c r="G113" s="621"/>
      <c r="H113" s="622"/>
      <c r="I113" s="623"/>
      <c r="J113" s="623"/>
      <c r="K113" s="235"/>
    </row>
    <row r="114" spans="1:11" x14ac:dyDescent="0.3">
      <c r="A114" s="1318" t="s">
        <v>617</v>
      </c>
      <c r="B114" s="1319"/>
      <c r="C114" s="1319"/>
      <c r="D114" s="1319"/>
      <c r="E114" s="1319"/>
      <c r="F114" s="1319"/>
      <c r="G114" s="1319"/>
      <c r="H114" s="1319"/>
      <c r="I114" s="1319"/>
      <c r="J114" s="1319"/>
      <c r="K114" s="235"/>
    </row>
    <row r="115" spans="1:11" ht="79.2" x14ac:dyDescent="0.3">
      <c r="A115" s="1320" t="s">
        <v>187</v>
      </c>
      <c r="B115" s="1321"/>
      <c r="C115" s="454" t="s">
        <v>266</v>
      </c>
      <c r="D115" s="1322" t="s">
        <v>267</v>
      </c>
      <c r="E115" s="1184"/>
      <c r="F115" s="455" t="s">
        <v>618</v>
      </c>
      <c r="G115" s="456" t="s">
        <v>897</v>
      </c>
      <c r="H115" s="455" t="s">
        <v>619</v>
      </c>
      <c r="I115" s="455" t="s">
        <v>620</v>
      </c>
      <c r="J115" s="1323" t="s">
        <v>898</v>
      </c>
      <c r="K115" s="1184"/>
    </row>
    <row r="116" spans="1:11" x14ac:dyDescent="0.3">
      <c r="A116" s="1323">
        <v>1</v>
      </c>
      <c r="B116" s="1321"/>
      <c r="C116" s="457">
        <v>2</v>
      </c>
      <c r="D116" s="1324">
        <v>3</v>
      </c>
      <c r="E116" s="764"/>
      <c r="F116" s="458">
        <v>4</v>
      </c>
      <c r="G116" s="459">
        <v>5</v>
      </c>
      <c r="H116" s="458">
        <v>6</v>
      </c>
      <c r="I116" s="458">
        <v>7</v>
      </c>
      <c r="J116" s="1324">
        <v>8</v>
      </c>
      <c r="K116" s="1186"/>
    </row>
    <row r="117" spans="1:11" x14ac:dyDescent="0.3">
      <c r="A117" s="1296" t="s">
        <v>197</v>
      </c>
      <c r="B117" s="1296"/>
      <c r="C117" s="460">
        <f>I83</f>
        <v>139.26980000000003</v>
      </c>
      <c r="D117" s="1316">
        <f>K23</f>
        <v>1993</v>
      </c>
      <c r="E117" s="728"/>
      <c r="F117" s="461">
        <f>C117/D117</f>
        <v>6.9879478173607637E-2</v>
      </c>
      <c r="G117" s="462">
        <f>оклади!K9</f>
        <v>7310</v>
      </c>
      <c r="H117" s="462">
        <f>F117*G117</f>
        <v>510.81898544907182</v>
      </c>
      <c r="I117" s="462">
        <f>H117*0.15</f>
        <v>76.622847817360764</v>
      </c>
      <c r="J117" s="1317">
        <f>H117*1.09+I117</f>
        <v>633.41554195684898</v>
      </c>
      <c r="K117" s="1186"/>
    </row>
    <row r="118" spans="1:11" x14ac:dyDescent="0.3">
      <c r="A118" s="1296" t="s">
        <v>319</v>
      </c>
      <c r="B118" s="1296"/>
      <c r="C118" s="460">
        <f>H112</f>
        <v>83.495000000000005</v>
      </c>
      <c r="D118" s="1297">
        <f>K23</f>
        <v>1993</v>
      </c>
      <c r="E118" s="779"/>
      <c r="F118" s="461">
        <f>C118/D118</f>
        <v>4.18941294530858E-2</v>
      </c>
      <c r="G118" s="462">
        <f>оклади!K9</f>
        <v>7310</v>
      </c>
      <c r="H118" s="462">
        <f>F118*G118</f>
        <v>306.24608630205722</v>
      </c>
      <c r="I118" s="462">
        <f>H118*0.15</f>
        <v>45.936912945308585</v>
      </c>
      <c r="J118" s="1303">
        <f>H118*1.09+I118</f>
        <v>379.74514701455098</v>
      </c>
      <c r="K118" s="1304"/>
    </row>
    <row r="119" spans="1:11" x14ac:dyDescent="0.3">
      <c r="A119" s="407"/>
      <c r="B119" s="451"/>
      <c r="C119" s="451"/>
      <c r="D119" s="451"/>
      <c r="E119" s="452"/>
      <c r="F119" s="235"/>
      <c r="G119" s="235"/>
      <c r="H119" s="235"/>
      <c r="I119" s="453"/>
      <c r="J119" s="235"/>
      <c r="K119" s="235"/>
    </row>
    <row r="120" spans="1:11" x14ac:dyDescent="0.3">
      <c r="A120" s="1298" t="s">
        <v>621</v>
      </c>
      <c r="B120" s="1298"/>
      <c r="C120" s="1298"/>
      <c r="D120" s="1298"/>
      <c r="E120" s="1298"/>
      <c r="F120" s="1298"/>
      <c r="G120" s="1298"/>
      <c r="H120" s="1298"/>
      <c r="I120" s="1298"/>
      <c r="J120" s="1298"/>
      <c r="K120" s="1298"/>
    </row>
    <row r="121" spans="1:11" ht="132" x14ac:dyDescent="0.3">
      <c r="A121" s="1183" t="s">
        <v>274</v>
      </c>
      <c r="B121" s="1299"/>
      <c r="C121" s="1183" t="s">
        <v>275</v>
      </c>
      <c r="D121" s="1300"/>
      <c r="E121" s="1184"/>
      <c r="F121" s="1183" t="s">
        <v>493</v>
      </c>
      <c r="G121" s="1184"/>
      <c r="H121" s="226" t="s">
        <v>277</v>
      </c>
      <c r="I121" s="1183" t="s">
        <v>622</v>
      </c>
      <c r="J121" s="1301"/>
      <c r="K121" s="226" t="s">
        <v>623</v>
      </c>
    </row>
    <row r="122" spans="1:11" x14ac:dyDescent="0.3">
      <c r="A122" s="1183">
        <v>1</v>
      </c>
      <c r="B122" s="1299"/>
      <c r="C122" s="1183">
        <v>2</v>
      </c>
      <c r="D122" s="1300"/>
      <c r="E122" s="1301"/>
      <c r="F122" s="1183">
        <v>3</v>
      </c>
      <c r="G122" s="1301"/>
      <c r="H122" s="227">
        <v>4</v>
      </c>
      <c r="I122" s="1183">
        <v>5</v>
      </c>
      <c r="J122" s="1301"/>
      <c r="K122" s="226">
        <v>6</v>
      </c>
    </row>
    <row r="123" spans="1:11" ht="38.4" customHeight="1" x14ac:dyDescent="0.3">
      <c r="A123" s="1400" t="s">
        <v>280</v>
      </c>
      <c r="B123" s="1401"/>
      <c r="C123" s="1267">
        <f>прибирання!C49</f>
        <v>1782768</v>
      </c>
      <c r="D123" s="1267"/>
      <c r="E123" s="1171"/>
      <c r="F123" s="1173">
        <f>прибирання!D49</f>
        <v>4193729</v>
      </c>
      <c r="G123" s="1173"/>
      <c r="H123" s="463">
        <f>C123/F123*100</f>
        <v>42.51032911282536</v>
      </c>
      <c r="I123" s="1402">
        <f>J117+J118</f>
        <v>1013.1606889714</v>
      </c>
      <c r="J123" s="1403"/>
      <c r="K123" s="238">
        <f>H123*I123/100</f>
        <v>430.69794332351108</v>
      </c>
    </row>
    <row r="124" spans="1:11" ht="31.8" customHeight="1" x14ac:dyDescent="0.3">
      <c r="A124" s="1400" t="s">
        <v>281</v>
      </c>
      <c r="B124" s="1401"/>
      <c r="C124" s="1267">
        <f>прибирання!C50</f>
        <v>2914645</v>
      </c>
      <c r="D124" s="1267"/>
      <c r="E124" s="1171"/>
      <c r="F124" s="1173">
        <f>прибирання!D50</f>
        <v>14598843</v>
      </c>
      <c r="G124" s="1173"/>
      <c r="H124" s="463">
        <f>C124/F124*100</f>
        <v>19.964904068082657</v>
      </c>
      <c r="I124" s="1402">
        <f>J10+J11+J13+J14+K123+J15</f>
        <v>4135.6539838686185</v>
      </c>
      <c r="J124" s="1403"/>
      <c r="K124" s="238">
        <f>H124*I124/100</f>
        <v>825.67935046720822</v>
      </c>
    </row>
    <row r="125" spans="1:11" ht="24.6" customHeight="1" x14ac:dyDescent="0.3">
      <c r="A125" s="1404" t="s">
        <v>282</v>
      </c>
      <c r="B125" s="1405"/>
      <c r="C125" s="1269"/>
      <c r="D125" s="1269"/>
      <c r="E125" s="1174"/>
      <c r="F125" s="1176"/>
      <c r="G125" s="1176"/>
      <c r="H125" s="464"/>
      <c r="I125" s="1406"/>
      <c r="J125" s="1407"/>
      <c r="K125" s="401">
        <f>SUM(K123:K124)</f>
        <v>1256.3772937907192</v>
      </c>
    </row>
    <row r="126" spans="1:11" x14ac:dyDescent="0.3">
      <c r="A126" s="146"/>
      <c r="B126" s="146"/>
      <c r="C126" s="146"/>
      <c r="D126" s="146"/>
      <c r="E126" s="146"/>
      <c r="F126" s="146"/>
      <c r="G126" s="146"/>
      <c r="H126" s="146"/>
      <c r="I126" s="146"/>
      <c r="J126" s="146"/>
      <c r="K126" s="146"/>
    </row>
    <row r="127" spans="1:11" ht="53.4" x14ac:dyDescent="0.3">
      <c r="A127" s="1191" t="s">
        <v>624</v>
      </c>
      <c r="B127" s="1191"/>
      <c r="C127" s="1191"/>
      <c r="D127" s="465" t="s">
        <v>625</v>
      </c>
      <c r="E127" s="466" t="s">
        <v>626</v>
      </c>
      <c r="F127" s="467" t="s">
        <v>627</v>
      </c>
      <c r="G127" s="466" t="s">
        <v>628</v>
      </c>
      <c r="H127" s="1302" t="s">
        <v>629</v>
      </c>
      <c r="I127" s="1302"/>
      <c r="J127" s="466" t="s">
        <v>630</v>
      </c>
      <c r="K127" s="146"/>
    </row>
    <row r="128" spans="1:11" x14ac:dyDescent="0.3">
      <c r="A128" s="1285">
        <v>1</v>
      </c>
      <c r="B128" s="1285"/>
      <c r="C128" s="1285"/>
      <c r="D128" s="468">
        <v>2</v>
      </c>
      <c r="E128" s="468">
        <v>3</v>
      </c>
      <c r="F128" s="468">
        <v>4</v>
      </c>
      <c r="G128" s="468">
        <v>5</v>
      </c>
      <c r="H128" s="1191">
        <v>6</v>
      </c>
      <c r="I128" s="1191"/>
      <c r="J128" s="468">
        <v>7</v>
      </c>
      <c r="K128" s="146"/>
    </row>
    <row r="129" spans="1:11" x14ac:dyDescent="0.3">
      <c r="A129" s="1284" t="s">
        <v>631</v>
      </c>
      <c r="B129" s="1284"/>
      <c r="C129" s="1284"/>
      <c r="D129" s="406">
        <v>0.5</v>
      </c>
      <c r="E129" s="406">
        <f>E77+E78</f>
        <v>10</v>
      </c>
      <c r="F129" s="406">
        <v>79</v>
      </c>
      <c r="G129" s="406">
        <f>D129*E129*F129</f>
        <v>395</v>
      </c>
      <c r="H129" s="1289">
        <f>G129/12</f>
        <v>32.916666666666664</v>
      </c>
      <c r="I129" s="1289"/>
      <c r="J129" s="469" t="s">
        <v>632</v>
      </c>
      <c r="K129" s="146"/>
    </row>
    <row r="130" spans="1:11" x14ac:dyDescent="0.3">
      <c r="A130" s="1284" t="s">
        <v>633</v>
      </c>
      <c r="B130" s="1284"/>
      <c r="C130" s="1284"/>
      <c r="D130" s="470">
        <v>8</v>
      </c>
      <c r="E130" s="470">
        <f>E79</f>
        <v>4</v>
      </c>
      <c r="F130" s="406">
        <v>8.4700000000000006</v>
      </c>
      <c r="G130" s="406">
        <f t="shared" ref="G130:G134" si="4">D130*E130*F130</f>
        <v>271.04000000000002</v>
      </c>
      <c r="H130" s="1398">
        <f>G130/12</f>
        <v>22.58666666666667</v>
      </c>
      <c r="I130" s="1399"/>
      <c r="J130" s="409" t="s">
        <v>603</v>
      </c>
      <c r="K130" s="146"/>
    </row>
    <row r="131" spans="1:11" x14ac:dyDescent="0.3">
      <c r="A131" s="1284" t="s">
        <v>899</v>
      </c>
      <c r="B131" s="1284"/>
      <c r="C131" s="1284"/>
      <c r="D131" s="470">
        <f>E88+E108</f>
        <v>2</v>
      </c>
      <c r="E131" s="470">
        <f>D131</f>
        <v>2</v>
      </c>
      <c r="F131" s="406">
        <v>20.51</v>
      </c>
      <c r="G131" s="406">
        <f>D131*F131</f>
        <v>41.02</v>
      </c>
      <c r="H131" s="1289">
        <f>G131/12</f>
        <v>3.4183333333333334</v>
      </c>
      <c r="I131" s="1289"/>
      <c r="J131" s="468" t="s">
        <v>837</v>
      </c>
    </row>
    <row r="132" spans="1:11" x14ac:dyDescent="0.3">
      <c r="A132" s="1284" t="s">
        <v>900</v>
      </c>
      <c r="B132" s="1284"/>
      <c r="C132" s="1284"/>
      <c r="D132" s="406"/>
      <c r="E132" s="470">
        <f>E96</f>
        <v>9</v>
      </c>
      <c r="F132" s="406">
        <v>3.27</v>
      </c>
      <c r="G132" s="406">
        <f>E132*F132</f>
        <v>29.43</v>
      </c>
      <c r="H132" s="1289">
        <f t="shared" ref="H132:H139" si="5">G132/12</f>
        <v>2.4525000000000001</v>
      </c>
      <c r="I132" s="1289"/>
      <c r="J132" s="409" t="s">
        <v>859</v>
      </c>
    </row>
    <row r="133" spans="1:11" x14ac:dyDescent="0.3">
      <c r="A133" s="1284" t="s">
        <v>901</v>
      </c>
      <c r="B133" s="1284"/>
      <c r="C133" s="1284"/>
      <c r="D133" s="406"/>
      <c r="E133" s="470">
        <f>E97</f>
        <v>5</v>
      </c>
      <c r="F133" s="406">
        <v>1.19</v>
      </c>
      <c r="G133" s="406">
        <f>E133*F133</f>
        <v>5.9499999999999993</v>
      </c>
      <c r="H133" s="1289">
        <f t="shared" si="5"/>
        <v>0.49583333333333329</v>
      </c>
      <c r="I133" s="1289"/>
      <c r="J133" s="409" t="s">
        <v>862</v>
      </c>
    </row>
    <row r="134" spans="1:11" x14ac:dyDescent="0.3">
      <c r="A134" s="1284" t="s">
        <v>908</v>
      </c>
      <c r="B134" s="1284"/>
      <c r="C134" s="1284"/>
      <c r="D134" s="470">
        <f>E99</f>
        <v>30</v>
      </c>
      <c r="E134" s="406">
        <v>0.5</v>
      </c>
      <c r="F134" s="406">
        <v>18.100000000000001</v>
      </c>
      <c r="G134" s="406">
        <f t="shared" si="4"/>
        <v>271.5</v>
      </c>
      <c r="H134" s="1289">
        <f t="shared" si="5"/>
        <v>22.625</v>
      </c>
      <c r="I134" s="1289"/>
      <c r="J134" s="468" t="s">
        <v>865</v>
      </c>
    </row>
    <row r="135" spans="1:11" x14ac:dyDescent="0.3">
      <c r="A135" s="1284" t="s">
        <v>902</v>
      </c>
      <c r="B135" s="1284"/>
      <c r="C135" s="1284"/>
      <c r="D135" s="406"/>
      <c r="E135" s="470">
        <f>E102</f>
        <v>2</v>
      </c>
      <c r="F135" s="406">
        <v>5.74</v>
      </c>
      <c r="G135" s="406">
        <f>E135*F135</f>
        <v>11.48</v>
      </c>
      <c r="H135" s="1289">
        <f t="shared" si="5"/>
        <v>0.95666666666666667</v>
      </c>
      <c r="I135" s="1289"/>
      <c r="J135" s="468" t="s">
        <v>872</v>
      </c>
    </row>
    <row r="136" spans="1:11" x14ac:dyDescent="0.3">
      <c r="A136" s="1284" t="s">
        <v>902</v>
      </c>
      <c r="B136" s="1284"/>
      <c r="C136" s="1284"/>
      <c r="D136" s="406"/>
      <c r="E136" s="470">
        <f>E103</f>
        <v>2</v>
      </c>
      <c r="F136" s="406">
        <v>5.74</v>
      </c>
      <c r="G136" s="406">
        <f t="shared" ref="G136:G139" si="6">E136*F136</f>
        <v>11.48</v>
      </c>
      <c r="H136" s="1289">
        <f t="shared" si="5"/>
        <v>0.95666666666666667</v>
      </c>
      <c r="I136" s="1289"/>
      <c r="J136" s="468" t="s">
        <v>874</v>
      </c>
    </row>
    <row r="137" spans="1:11" x14ac:dyDescent="0.3">
      <c r="A137" s="1284" t="s">
        <v>903</v>
      </c>
      <c r="B137" s="1284"/>
      <c r="C137" s="1284"/>
      <c r="D137" s="613"/>
      <c r="E137" s="631">
        <f>E106</f>
        <v>1</v>
      </c>
      <c r="F137" s="507">
        <v>40.47</v>
      </c>
      <c r="G137" s="406">
        <f t="shared" si="6"/>
        <v>40.47</v>
      </c>
      <c r="H137" s="1289">
        <f t="shared" si="5"/>
        <v>3.3725000000000001</v>
      </c>
      <c r="I137" s="1289"/>
      <c r="J137" s="468" t="s">
        <v>904</v>
      </c>
    </row>
    <row r="138" spans="1:11" x14ac:dyDescent="0.3">
      <c r="A138" s="1284" t="s">
        <v>905</v>
      </c>
      <c r="B138" s="1284"/>
      <c r="C138" s="1284"/>
      <c r="D138" s="1290">
        <f>E117</f>
        <v>0</v>
      </c>
      <c r="E138" s="470"/>
      <c r="F138" s="406">
        <v>72.040000000000006</v>
      </c>
      <c r="G138" s="406">
        <f t="shared" si="6"/>
        <v>0</v>
      </c>
      <c r="H138" s="1289">
        <f t="shared" si="5"/>
        <v>0</v>
      </c>
      <c r="I138" s="1289"/>
      <c r="J138" s="1191" t="s">
        <v>888</v>
      </c>
    </row>
    <row r="139" spans="1:11" x14ac:dyDescent="0.3">
      <c r="A139" s="1284" t="s">
        <v>906</v>
      </c>
      <c r="B139" s="1284"/>
      <c r="C139" s="1284"/>
      <c r="D139" s="1191"/>
      <c r="E139" s="470">
        <f>E109</f>
        <v>6</v>
      </c>
      <c r="F139" s="406">
        <v>30.98</v>
      </c>
      <c r="G139" s="406">
        <f t="shared" si="6"/>
        <v>185.88</v>
      </c>
      <c r="H139" s="1285">
        <f t="shared" si="5"/>
        <v>15.49</v>
      </c>
      <c r="I139" s="1285"/>
      <c r="J139" s="1191"/>
    </row>
    <row r="140" spans="1:11" x14ac:dyDescent="0.3">
      <c r="A140" s="1286" t="s">
        <v>907</v>
      </c>
      <c r="B140" s="1286"/>
      <c r="C140" s="1286"/>
      <c r="D140" s="207"/>
      <c r="E140" s="207"/>
      <c r="F140" s="207"/>
      <c r="G140" s="207"/>
      <c r="H140" s="1287">
        <f>SUM(H129:H139)</f>
        <v>105.27083333333333</v>
      </c>
      <c r="I140" s="1288"/>
      <c r="J140" s="207"/>
    </row>
    <row r="141" spans="1:11" x14ac:dyDescent="0.3">
      <c r="A141" s="662" t="s">
        <v>927</v>
      </c>
      <c r="B141" s="662"/>
      <c r="C141" s="662"/>
      <c r="D141" s="662"/>
      <c r="E141" s="662"/>
      <c r="F141" s="662"/>
      <c r="G141" s="662"/>
      <c r="H141" s="662"/>
      <c r="I141" s="662"/>
    </row>
    <row r="142" spans="1:11" ht="69" x14ac:dyDescent="0.3">
      <c r="A142" s="663" t="s">
        <v>12</v>
      </c>
      <c r="B142" s="1282" t="s">
        <v>928</v>
      </c>
      <c r="C142" s="1282"/>
      <c r="D142" s="1282"/>
      <c r="E142" s="1282"/>
      <c r="F142" s="1282"/>
      <c r="G142" s="1282"/>
      <c r="H142" s="663" t="s">
        <v>929</v>
      </c>
      <c r="I142" s="663" t="s">
        <v>930</v>
      </c>
    </row>
    <row r="143" spans="1:11" x14ac:dyDescent="0.3">
      <c r="A143" s="664">
        <v>1</v>
      </c>
      <c r="B143" s="1283" t="s">
        <v>931</v>
      </c>
      <c r="C143" s="1283"/>
      <c r="D143" s="1283"/>
      <c r="E143" s="1283"/>
      <c r="F143" s="1283"/>
      <c r="G143" s="1283"/>
      <c r="H143" s="240">
        <v>3505.8</v>
      </c>
      <c r="I143" s="240">
        <f>ROUND(H143/12,2)</f>
        <v>292.14999999999998</v>
      </c>
    </row>
  </sheetData>
  <mergeCells count="245">
    <mergeCell ref="A122:B122"/>
    <mergeCell ref="C122:E122"/>
    <mergeCell ref="F122:G122"/>
    <mergeCell ref="I122:J122"/>
    <mergeCell ref="A123:B123"/>
    <mergeCell ref="C123:E123"/>
    <mergeCell ref="F123:G123"/>
    <mergeCell ref="I123:J123"/>
    <mergeCell ref="H129:I129"/>
    <mergeCell ref="A130:C130"/>
    <mergeCell ref="H130:I130"/>
    <mergeCell ref="A124:B124"/>
    <mergeCell ref="C124:E124"/>
    <mergeCell ref="F124:G124"/>
    <mergeCell ref="I124:J124"/>
    <mergeCell ref="A125:B125"/>
    <mergeCell ref="C125:E125"/>
    <mergeCell ref="F125:G125"/>
    <mergeCell ref="I125:J125"/>
    <mergeCell ref="B81:H81"/>
    <mergeCell ref="B82:C82"/>
    <mergeCell ref="G82:H82"/>
    <mergeCell ref="B79:C79"/>
    <mergeCell ref="G79:H79"/>
    <mergeCell ref="B80:C80"/>
    <mergeCell ref="G80:H80"/>
    <mergeCell ref="B83:C83"/>
    <mergeCell ref="G83:H83"/>
    <mergeCell ref="B76:C76"/>
    <mergeCell ref="G76:H76"/>
    <mergeCell ref="B77:C77"/>
    <mergeCell ref="G77:H77"/>
    <mergeCell ref="B78:C78"/>
    <mergeCell ref="G78:H78"/>
    <mergeCell ref="B73:C73"/>
    <mergeCell ref="G73:H73"/>
    <mergeCell ref="B74:C74"/>
    <mergeCell ref="G74:H74"/>
    <mergeCell ref="B75:C75"/>
    <mergeCell ref="G75:H75"/>
    <mergeCell ref="B69:C69"/>
    <mergeCell ref="G69:H69"/>
    <mergeCell ref="B70:H70"/>
    <mergeCell ref="B71:C71"/>
    <mergeCell ref="G71:H71"/>
    <mergeCell ref="B72:C72"/>
    <mergeCell ref="G72:H72"/>
    <mergeCell ref="B65:H65"/>
    <mergeCell ref="B66:H66"/>
    <mergeCell ref="B67:C67"/>
    <mergeCell ref="G67:H67"/>
    <mergeCell ref="B68:C68"/>
    <mergeCell ref="G68:H68"/>
    <mergeCell ref="B62:C62"/>
    <mergeCell ref="G62:H62"/>
    <mergeCell ref="B63:C63"/>
    <mergeCell ref="G63:H63"/>
    <mergeCell ref="B64:C64"/>
    <mergeCell ref="G64:H64"/>
    <mergeCell ref="B59:C59"/>
    <mergeCell ref="G59:H59"/>
    <mergeCell ref="B60:C60"/>
    <mergeCell ref="G60:H60"/>
    <mergeCell ref="B61:C61"/>
    <mergeCell ref="G61:H61"/>
    <mergeCell ref="B56:C56"/>
    <mergeCell ref="G56:H56"/>
    <mergeCell ref="B57:C57"/>
    <mergeCell ref="G57:H57"/>
    <mergeCell ref="B58:C58"/>
    <mergeCell ref="G58:H58"/>
    <mergeCell ref="B52:C52"/>
    <mergeCell ref="G52:H52"/>
    <mergeCell ref="B53:C53"/>
    <mergeCell ref="G53:H53"/>
    <mergeCell ref="B54:H54"/>
    <mergeCell ref="B55:C55"/>
    <mergeCell ref="G55:H55"/>
    <mergeCell ref="B49:C49"/>
    <mergeCell ref="G49:H49"/>
    <mergeCell ref="B50:C50"/>
    <mergeCell ref="G50:H50"/>
    <mergeCell ref="B51:C51"/>
    <mergeCell ref="G51:H51"/>
    <mergeCell ref="B46:C46"/>
    <mergeCell ref="G46:H46"/>
    <mergeCell ref="B47:C47"/>
    <mergeCell ref="G47:H47"/>
    <mergeCell ref="B48:C48"/>
    <mergeCell ref="G48:H48"/>
    <mergeCell ref="B42:C42"/>
    <mergeCell ref="G42:H42"/>
    <mergeCell ref="B43:C43"/>
    <mergeCell ref="G43:H43"/>
    <mergeCell ref="B44:H44"/>
    <mergeCell ref="B45:C45"/>
    <mergeCell ref="G45:H45"/>
    <mergeCell ref="B38:C38"/>
    <mergeCell ref="G38:H38"/>
    <mergeCell ref="B39:H39"/>
    <mergeCell ref="B40:C40"/>
    <mergeCell ref="G40:H40"/>
    <mergeCell ref="B41:C41"/>
    <mergeCell ref="G41:H41"/>
    <mergeCell ref="B35:C35"/>
    <mergeCell ref="G35:H35"/>
    <mergeCell ref="B36:C36"/>
    <mergeCell ref="G36:H36"/>
    <mergeCell ref="B37:C37"/>
    <mergeCell ref="G37:H37"/>
    <mergeCell ref="B31:C31"/>
    <mergeCell ref="G31:H31"/>
    <mergeCell ref="B32:H32"/>
    <mergeCell ref="B33:H33"/>
    <mergeCell ref="B34:C34"/>
    <mergeCell ref="G34:H34"/>
    <mergeCell ref="B29:C29"/>
    <mergeCell ref="G29:H29"/>
    <mergeCell ref="B30:C30"/>
    <mergeCell ref="G30:H30"/>
    <mergeCell ref="B25:C25"/>
    <mergeCell ref="G25:H25"/>
    <mergeCell ref="B26:C26"/>
    <mergeCell ref="G26:H26"/>
    <mergeCell ref="B27:H27"/>
    <mergeCell ref="B28:C28"/>
    <mergeCell ref="G28:H28"/>
    <mergeCell ref="H14:I14"/>
    <mergeCell ref="J14:K14"/>
    <mergeCell ref="A20:K20"/>
    <mergeCell ref="A21:K21"/>
    <mergeCell ref="A22:K22"/>
    <mergeCell ref="A23:E23"/>
    <mergeCell ref="F23:G23"/>
    <mergeCell ref="I23:J23"/>
    <mergeCell ref="B17:F17"/>
    <mergeCell ref="H17:K17"/>
    <mergeCell ref="B18:F18"/>
    <mergeCell ref="A1:E1"/>
    <mergeCell ref="B9:F9"/>
    <mergeCell ref="H9:I9"/>
    <mergeCell ref="J9:K9"/>
    <mergeCell ref="B10:F10"/>
    <mergeCell ref="H10:I10"/>
    <mergeCell ref="J10:K10"/>
    <mergeCell ref="A7:K7"/>
    <mergeCell ref="A8:K8"/>
    <mergeCell ref="H1:K1"/>
    <mergeCell ref="H2:K2"/>
    <mergeCell ref="H3:K3"/>
    <mergeCell ref="J4:K4"/>
    <mergeCell ref="A6:J6"/>
    <mergeCell ref="A24:K24"/>
    <mergeCell ref="A84:K84"/>
    <mergeCell ref="B86:C86"/>
    <mergeCell ref="B88:C88"/>
    <mergeCell ref="B89:C89"/>
    <mergeCell ref="B90:C90"/>
    <mergeCell ref="B85:C85"/>
    <mergeCell ref="B87:G87"/>
    <mergeCell ref="B11:F11"/>
    <mergeCell ref="H11:I11"/>
    <mergeCell ref="J11:K11"/>
    <mergeCell ref="B12:F12"/>
    <mergeCell ref="H12:I12"/>
    <mergeCell ref="J12:K12"/>
    <mergeCell ref="B15:F15"/>
    <mergeCell ref="H15:I15"/>
    <mergeCell ref="J15:K15"/>
    <mergeCell ref="B16:F16"/>
    <mergeCell ref="H16:I16"/>
    <mergeCell ref="J16:K16"/>
    <mergeCell ref="B13:F13"/>
    <mergeCell ref="H13:I13"/>
    <mergeCell ref="J13:K13"/>
    <mergeCell ref="B14:F14"/>
    <mergeCell ref="B91:C91"/>
    <mergeCell ref="B92:C92"/>
    <mergeCell ref="B93:G93"/>
    <mergeCell ref="B94:C94"/>
    <mergeCell ref="B95:C95"/>
    <mergeCell ref="B96:C96"/>
    <mergeCell ref="B97:C97"/>
    <mergeCell ref="B98:G98"/>
    <mergeCell ref="B99:C99"/>
    <mergeCell ref="J118:K118"/>
    <mergeCell ref="B100:C100"/>
    <mergeCell ref="B101:G101"/>
    <mergeCell ref="B102:C102"/>
    <mergeCell ref="B103:C103"/>
    <mergeCell ref="B104:G104"/>
    <mergeCell ref="B105:C105"/>
    <mergeCell ref="B106:C106"/>
    <mergeCell ref="B107:G107"/>
    <mergeCell ref="B108:C108"/>
    <mergeCell ref="A117:B117"/>
    <mergeCell ref="D117:E117"/>
    <mergeCell ref="J117:K117"/>
    <mergeCell ref="A114:J114"/>
    <mergeCell ref="A115:B115"/>
    <mergeCell ref="D115:E115"/>
    <mergeCell ref="J115:K115"/>
    <mergeCell ref="A116:B116"/>
    <mergeCell ref="D116:E116"/>
    <mergeCell ref="J116:K116"/>
    <mergeCell ref="A131:C131"/>
    <mergeCell ref="H131:I131"/>
    <mergeCell ref="A132:C132"/>
    <mergeCell ref="H132:I132"/>
    <mergeCell ref="A133:C133"/>
    <mergeCell ref="H133:I133"/>
    <mergeCell ref="A134:C134"/>
    <mergeCell ref="H134:I134"/>
    <mergeCell ref="B109:C109"/>
    <mergeCell ref="B110:C110"/>
    <mergeCell ref="B111:C111"/>
    <mergeCell ref="B112:C112"/>
    <mergeCell ref="A118:B118"/>
    <mergeCell ref="D118:E118"/>
    <mergeCell ref="A120:K120"/>
    <mergeCell ref="A121:B121"/>
    <mergeCell ref="C121:E121"/>
    <mergeCell ref="F121:G121"/>
    <mergeCell ref="I121:J121"/>
    <mergeCell ref="A127:C127"/>
    <mergeCell ref="H127:I127"/>
    <mergeCell ref="A128:C128"/>
    <mergeCell ref="H128:I128"/>
    <mergeCell ref="A129:C129"/>
    <mergeCell ref="B142:G142"/>
    <mergeCell ref="B143:G143"/>
    <mergeCell ref="J138:J139"/>
    <mergeCell ref="A139:C139"/>
    <mergeCell ref="H139:I139"/>
    <mergeCell ref="A140:C140"/>
    <mergeCell ref="H140:I140"/>
    <mergeCell ref="A135:C135"/>
    <mergeCell ref="H135:I135"/>
    <mergeCell ref="A136:C136"/>
    <mergeCell ref="H136:I136"/>
    <mergeCell ref="A137:C137"/>
    <mergeCell ref="H137:I137"/>
    <mergeCell ref="A138:C138"/>
    <mergeCell ref="D138:D139"/>
    <mergeCell ref="H138:I138"/>
  </mergeCells>
  <pageMargins left="0.7" right="0.7" top="0.75" bottom="0.75" header="0.3" footer="0.3"/>
  <pageSetup paperSize="9" scale="85" orientation="portrait" r:id="rId1"/>
  <rowBreaks count="1" manualBreakCount="1">
    <brk id="11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F6811-A3B2-4291-B90D-F48CB58762AB}">
  <dimension ref="A1:J44"/>
  <sheetViews>
    <sheetView topLeftCell="A12" zoomScaleNormal="100" workbookViewId="0">
      <selection activeCell="B30" sqref="B30:G30"/>
    </sheetView>
  </sheetViews>
  <sheetFormatPr defaultRowHeight="14.4" x14ac:dyDescent="0.3"/>
  <cols>
    <col min="4" max="4" width="19.44140625" customWidth="1"/>
    <col min="9" max="9" width="9.21875" customWidth="1"/>
  </cols>
  <sheetData>
    <row r="1" spans="1:10" x14ac:dyDescent="0.3">
      <c r="A1" t="str">
        <f>прибирання!A1</f>
        <v>м. КанівДніпробудівська7</v>
      </c>
      <c r="F1" s="1261" t="s">
        <v>211</v>
      </c>
      <c r="G1" s="1261"/>
      <c r="H1" s="1261"/>
      <c r="I1" s="1261"/>
    </row>
    <row r="2" spans="1:10" x14ac:dyDescent="0.3">
      <c r="F2" s="1261" t="s">
        <v>105</v>
      </c>
      <c r="G2" s="1261"/>
      <c r="H2" s="1261"/>
      <c r="I2" s="1261"/>
    </row>
    <row r="3" spans="1:10" x14ac:dyDescent="0.3">
      <c r="F3" s="1265" t="s">
        <v>634</v>
      </c>
      <c r="G3" s="1265"/>
      <c r="H3" s="1265"/>
      <c r="I3" s="1265"/>
    </row>
    <row r="4" spans="1:10" x14ac:dyDescent="0.3">
      <c r="F4" s="247"/>
      <c r="G4" s="248"/>
      <c r="H4" s="1262" t="s">
        <v>293</v>
      </c>
      <c r="I4" s="1262"/>
    </row>
    <row r="6" spans="1:10" x14ac:dyDescent="0.3">
      <c r="A6" s="1263" t="s">
        <v>297</v>
      </c>
      <c r="B6" s="1263"/>
      <c r="C6" s="1263"/>
      <c r="D6" s="1263"/>
      <c r="E6" s="1263"/>
      <c r="F6" s="1263"/>
      <c r="G6" s="1263"/>
      <c r="H6" s="1263"/>
      <c r="I6" s="1263"/>
      <c r="J6" s="1263"/>
    </row>
    <row r="7" spans="1:10" x14ac:dyDescent="0.3">
      <c r="A7" s="146"/>
      <c r="B7" s="1263" t="s">
        <v>936</v>
      </c>
      <c r="C7" s="1408"/>
      <c r="D7" s="1408"/>
      <c r="E7" s="1409"/>
      <c r="F7" s="1409"/>
      <c r="G7" s="1409"/>
      <c r="H7" s="1409"/>
      <c r="I7" s="1409"/>
    </row>
    <row r="8" spans="1:10" ht="15.6" x14ac:dyDescent="0.3">
      <c r="A8" s="146"/>
      <c r="B8" s="481"/>
      <c r="C8" s="178"/>
      <c r="D8" s="178"/>
      <c r="E8" s="146"/>
      <c r="F8" s="146"/>
      <c r="G8" s="146"/>
      <c r="H8" s="146"/>
      <c r="I8" s="146"/>
    </row>
    <row r="9" spans="1:10" x14ac:dyDescent="0.3">
      <c r="A9" s="1410" t="s">
        <v>935</v>
      </c>
      <c r="B9" s="1411"/>
      <c r="C9" s="1411"/>
      <c r="D9" s="1411"/>
      <c r="E9" s="1411"/>
      <c r="F9" s="1411"/>
      <c r="G9" s="1411"/>
      <c r="H9" s="1411"/>
      <c r="I9" s="1411"/>
    </row>
    <row r="10" spans="1:10" ht="26.4" x14ac:dyDescent="0.3">
      <c r="A10" s="482" t="s">
        <v>213</v>
      </c>
      <c r="B10" s="1412" t="s">
        <v>214</v>
      </c>
      <c r="C10" s="1413"/>
      <c r="D10" s="1414"/>
      <c r="E10" s="483" t="s">
        <v>215</v>
      </c>
      <c r="F10" s="1415" t="s">
        <v>216</v>
      </c>
      <c r="G10" s="1416"/>
      <c r="H10" s="1417" t="s">
        <v>489</v>
      </c>
      <c r="I10" s="1418"/>
    </row>
    <row r="11" spans="1:10" x14ac:dyDescent="0.3">
      <c r="A11" s="215">
        <v>1</v>
      </c>
      <c r="B11" s="1151" t="s">
        <v>660</v>
      </c>
      <c r="C11" s="1419"/>
      <c r="D11" s="1420"/>
      <c r="E11" s="467" t="s">
        <v>178</v>
      </c>
      <c r="F11" s="1421">
        <f>H11*12</f>
        <v>1305.2736</v>
      </c>
      <c r="G11" s="1422"/>
      <c r="H11" s="1423">
        <f>I37</f>
        <v>108.7728</v>
      </c>
      <c r="I11" s="1424"/>
    </row>
    <row r="12" spans="1:10" ht="30" customHeight="1" x14ac:dyDescent="0.3">
      <c r="A12" s="147">
        <v>2</v>
      </c>
      <c r="B12" s="1151" t="s">
        <v>913</v>
      </c>
      <c r="C12" s="1419"/>
      <c r="D12" s="1420"/>
      <c r="E12" s="467" t="s">
        <v>178</v>
      </c>
      <c r="F12" s="1421">
        <f>H12*12</f>
        <v>287.16019200000005</v>
      </c>
      <c r="G12" s="1422"/>
      <c r="H12" s="1423">
        <f>I36*розрахунок!D40/100</f>
        <v>23.930016000000002</v>
      </c>
      <c r="I12" s="1424"/>
    </row>
    <row r="13" spans="1:10" x14ac:dyDescent="0.3">
      <c r="A13" s="215">
        <v>3</v>
      </c>
      <c r="B13" s="1151" t="s">
        <v>500</v>
      </c>
      <c r="C13" s="1419"/>
      <c r="D13" s="1420"/>
      <c r="E13" s="467" t="s">
        <v>178</v>
      </c>
      <c r="F13" s="1421">
        <f>H13*12</f>
        <v>988.56091578853091</v>
      </c>
      <c r="G13" s="1422"/>
      <c r="H13" s="1423">
        <f>H44</f>
        <v>82.380076315710909</v>
      </c>
      <c r="I13" s="1424"/>
    </row>
    <row r="14" spans="1:10" x14ac:dyDescent="0.3">
      <c r="A14" s="215">
        <v>4</v>
      </c>
      <c r="B14" s="1151" t="s">
        <v>638</v>
      </c>
      <c r="C14" s="1419"/>
      <c r="D14" s="1420"/>
      <c r="E14" s="467" t="s">
        <v>178</v>
      </c>
      <c r="F14" s="1421">
        <f>H14*12</f>
        <v>24.925999999999995</v>
      </c>
      <c r="G14" s="1422"/>
      <c r="H14" s="1423">
        <f>інвентар!I13</f>
        <v>2.0771666666666664</v>
      </c>
      <c r="I14" s="1424"/>
    </row>
    <row r="15" spans="1:10" x14ac:dyDescent="0.3">
      <c r="A15" s="215">
        <v>5</v>
      </c>
      <c r="B15" s="1151" t="s">
        <v>487</v>
      </c>
      <c r="C15" s="1419"/>
      <c r="D15" s="1420"/>
      <c r="E15" s="467" t="s">
        <v>178</v>
      </c>
      <c r="F15" s="1421">
        <f>H15*12</f>
        <v>0</v>
      </c>
      <c r="G15" s="1422"/>
      <c r="H15" s="1423">
        <v>0</v>
      </c>
      <c r="I15" s="1424"/>
    </row>
    <row r="16" spans="1:10" hidden="1" x14ac:dyDescent="0.3">
      <c r="A16" s="215">
        <v>6</v>
      </c>
      <c r="B16" s="1151" t="s">
        <v>661</v>
      </c>
      <c r="C16" s="1419"/>
      <c r="D16" s="1420"/>
      <c r="E16" s="467" t="s">
        <v>165</v>
      </c>
      <c r="F16" s="1425">
        <f>[1]Таблица_Характеристика!N94</f>
        <v>0</v>
      </c>
      <c r="G16" s="1426"/>
      <c r="H16" s="1427"/>
      <c r="I16" s="1428"/>
    </row>
    <row r="17" spans="1:9" hidden="1" x14ac:dyDescent="0.3">
      <c r="A17" s="215">
        <v>7</v>
      </c>
      <c r="B17" s="1151" t="s">
        <v>662</v>
      </c>
      <c r="C17" s="1419"/>
      <c r="D17" s="1420"/>
      <c r="E17" s="467" t="s">
        <v>165</v>
      </c>
      <c r="F17" s="1425">
        <f>розрахунок!D38</f>
        <v>1100</v>
      </c>
      <c r="G17" s="1426"/>
      <c r="H17" s="1427"/>
      <c r="I17" s="1428"/>
    </row>
    <row r="18" spans="1:9" x14ac:dyDescent="0.3">
      <c r="A18" s="215">
        <v>8</v>
      </c>
      <c r="B18" s="1151" t="s">
        <v>663</v>
      </c>
      <c r="C18" s="1419"/>
      <c r="D18" s="1420"/>
      <c r="E18" s="467" t="s">
        <v>165</v>
      </c>
      <c r="F18" s="1425">
        <f>Характеристика!N89</f>
        <v>62</v>
      </c>
      <c r="G18" s="1426"/>
      <c r="H18" s="1427"/>
      <c r="I18" s="1428"/>
    </row>
    <row r="19" spans="1:9" x14ac:dyDescent="0.3">
      <c r="A19" s="215">
        <v>9</v>
      </c>
      <c r="B19" s="1151" t="s">
        <v>664</v>
      </c>
      <c r="C19" s="1419"/>
      <c r="D19" s="1420"/>
      <c r="E19" s="467" t="s">
        <v>165</v>
      </c>
      <c r="F19" s="1425">
        <f>розрахунок!D39</f>
        <v>5000</v>
      </c>
      <c r="G19" s="1426"/>
      <c r="H19" s="1427"/>
      <c r="I19" s="1428"/>
    </row>
    <row r="20" spans="1:9" ht="25.8" hidden="1" customHeight="1" x14ac:dyDescent="0.3">
      <c r="A20" s="215">
        <v>10</v>
      </c>
      <c r="B20" s="1151" t="s">
        <v>639</v>
      </c>
      <c r="C20" s="1419"/>
      <c r="D20" s="1420"/>
      <c r="E20" s="467" t="s">
        <v>178</v>
      </c>
      <c r="F20" s="1429">
        <f>H20*12</f>
        <v>0</v>
      </c>
      <c r="G20" s="1430"/>
      <c r="H20" s="1431"/>
      <c r="I20" s="1432"/>
    </row>
    <row r="21" spans="1:9" ht="27.6" hidden="1" customHeight="1" x14ac:dyDescent="0.3">
      <c r="A21" s="215">
        <v>11</v>
      </c>
      <c r="B21" s="1151" t="s">
        <v>640</v>
      </c>
      <c r="C21" s="1419"/>
      <c r="D21" s="1420"/>
      <c r="E21" s="467" t="s">
        <v>178</v>
      </c>
      <c r="F21" s="1438">
        <f>H21*12</f>
        <v>0</v>
      </c>
      <c r="G21" s="1439"/>
      <c r="H21" s="1440"/>
      <c r="I21" s="1441"/>
    </row>
    <row r="22" spans="1:9" ht="44.4" hidden="1" customHeight="1" x14ac:dyDescent="0.3">
      <c r="A22" s="215">
        <v>12</v>
      </c>
      <c r="B22" s="1151" t="s">
        <v>641</v>
      </c>
      <c r="C22" s="1419"/>
      <c r="D22" s="1420"/>
      <c r="E22" s="467" t="s">
        <v>178</v>
      </c>
      <c r="F22" s="1442">
        <f>F16*F20+F18*F21</f>
        <v>0</v>
      </c>
      <c r="G22" s="1443"/>
      <c r="H22" s="1444">
        <f>F22/12</f>
        <v>0</v>
      </c>
      <c r="I22" s="1445"/>
    </row>
    <row r="23" spans="1:9" x14ac:dyDescent="0.3">
      <c r="A23" s="215">
        <v>10</v>
      </c>
      <c r="B23" s="1433" t="s">
        <v>665</v>
      </c>
      <c r="C23" s="1434"/>
      <c r="D23" s="1435"/>
      <c r="E23" s="485" t="s">
        <v>178</v>
      </c>
      <c r="F23" s="1436">
        <f>F11+F12+F13+F14+F15</f>
        <v>2605.9207077885308</v>
      </c>
      <c r="G23" s="1437"/>
      <c r="H23" s="1436">
        <f>H11+H12+H13+H14+H15</f>
        <v>217.16005898237759</v>
      </c>
      <c r="I23" s="1437"/>
    </row>
    <row r="24" spans="1:9" s="253" customFormat="1" ht="22.2" customHeight="1" x14ac:dyDescent="0.3">
      <c r="A24" s="147">
        <v>11</v>
      </c>
      <c r="B24" s="1448" t="s">
        <v>120</v>
      </c>
      <c r="C24" s="1449"/>
      <c r="D24" s="1450"/>
      <c r="E24" s="476" t="s">
        <v>642</v>
      </c>
      <c r="F24" s="1451">
        <f>Характеристика!N18</f>
        <v>3207.38</v>
      </c>
      <c r="G24" s="1452"/>
      <c r="H24" s="1452"/>
      <c r="I24" s="1453"/>
    </row>
    <row r="25" spans="1:9" x14ac:dyDescent="0.3">
      <c r="A25" s="215">
        <v>12</v>
      </c>
      <c r="B25" s="1274" t="s">
        <v>498</v>
      </c>
      <c r="C25" s="1454"/>
      <c r="D25" s="1455"/>
      <c r="E25" s="215" t="s">
        <v>178</v>
      </c>
      <c r="F25" s="1456">
        <f>H23/F24</f>
        <v>6.7706370614762701E-2</v>
      </c>
      <c r="G25" s="1457"/>
      <c r="H25" s="1457"/>
      <c r="I25" s="1458"/>
    </row>
    <row r="26" spans="1:9" x14ac:dyDescent="0.3">
      <c r="A26" s="146"/>
      <c r="B26" s="146"/>
      <c r="C26" s="146"/>
      <c r="D26" s="146"/>
      <c r="E26" s="146"/>
      <c r="F26" s="146"/>
      <c r="G26" s="146"/>
      <c r="H26" s="146"/>
      <c r="I26" s="146"/>
    </row>
    <row r="27" spans="1:9" x14ac:dyDescent="0.3">
      <c r="A27" s="178" t="s">
        <v>643</v>
      </c>
      <c r="B27" s="178" t="s">
        <v>644</v>
      </c>
      <c r="C27" s="146"/>
      <c r="D27" s="146"/>
      <c r="E27" s="146"/>
      <c r="F27" s="146"/>
      <c r="G27" s="146"/>
      <c r="H27" s="146"/>
      <c r="I27" s="146"/>
    </row>
    <row r="28" spans="1:9" ht="27" x14ac:dyDescent="0.3">
      <c r="A28" s="482" t="s">
        <v>213</v>
      </c>
      <c r="B28" s="1459" t="s">
        <v>645</v>
      </c>
      <c r="C28" s="1459"/>
      <c r="D28" s="1156"/>
      <c r="E28" s="1156"/>
      <c r="F28" s="1156"/>
      <c r="G28" s="1156"/>
      <c r="H28" s="486" t="s">
        <v>215</v>
      </c>
      <c r="I28" s="147" t="s">
        <v>646</v>
      </c>
    </row>
    <row r="29" spans="1:9" hidden="1" x14ac:dyDescent="0.3">
      <c r="A29" s="409">
        <v>1</v>
      </c>
      <c r="B29" s="1460" t="s">
        <v>647</v>
      </c>
      <c r="C29" s="1460"/>
      <c r="D29" s="1156"/>
      <c r="E29" s="1156"/>
      <c r="F29" s="1156"/>
      <c r="G29" s="1156"/>
      <c r="H29" s="409" t="s">
        <v>165</v>
      </c>
      <c r="I29" s="487">
        <v>1100</v>
      </c>
    </row>
    <row r="30" spans="1:9" ht="33.6" customHeight="1" x14ac:dyDescent="0.3">
      <c r="A30" s="409">
        <v>2</v>
      </c>
      <c r="B30" s="1460" t="s">
        <v>648</v>
      </c>
      <c r="C30" s="1460"/>
      <c r="D30" s="1156"/>
      <c r="E30" s="1156"/>
      <c r="F30" s="1156"/>
      <c r="G30" s="1156"/>
      <c r="H30" s="409" t="s">
        <v>165</v>
      </c>
      <c r="I30" s="487">
        <v>5000</v>
      </c>
    </row>
    <row r="31" spans="1:9" x14ac:dyDescent="0.3">
      <c r="A31" s="146"/>
      <c r="B31" s="146"/>
      <c r="C31" s="146"/>
      <c r="D31" s="146"/>
      <c r="E31" s="146"/>
      <c r="F31" s="146"/>
      <c r="G31" s="146"/>
      <c r="H31" s="146"/>
      <c r="I31" s="146"/>
    </row>
    <row r="32" spans="1:9" x14ac:dyDescent="0.3">
      <c r="A32" s="178" t="s">
        <v>523</v>
      </c>
      <c r="B32" s="178" t="s">
        <v>649</v>
      </c>
      <c r="C32" s="146"/>
      <c r="D32" s="146"/>
      <c r="E32" s="146"/>
      <c r="F32" s="146"/>
      <c r="G32" s="146"/>
      <c r="H32" s="146"/>
      <c r="I32" s="146"/>
    </row>
    <row r="33" spans="1:9" ht="118.8" x14ac:dyDescent="0.3">
      <c r="A33" s="1461" t="s">
        <v>650</v>
      </c>
      <c r="B33" s="1203"/>
      <c r="C33" s="488" t="s">
        <v>651</v>
      </c>
      <c r="D33" s="489" t="s">
        <v>652</v>
      </c>
      <c r="E33" s="256" t="s">
        <v>618</v>
      </c>
      <c r="F33" s="490" t="s">
        <v>653</v>
      </c>
      <c r="G33" s="256" t="s">
        <v>654</v>
      </c>
      <c r="H33" s="256" t="s">
        <v>620</v>
      </c>
      <c r="I33" s="256" t="s">
        <v>272</v>
      </c>
    </row>
    <row r="34" spans="1:9" x14ac:dyDescent="0.3">
      <c r="A34" s="1462">
        <v>1</v>
      </c>
      <c r="B34" s="1203"/>
      <c r="C34" s="488">
        <v>2</v>
      </c>
      <c r="D34" s="491">
        <v>3</v>
      </c>
      <c r="E34" s="491">
        <v>4</v>
      </c>
      <c r="F34" s="492">
        <v>5</v>
      </c>
      <c r="G34" s="491">
        <v>6</v>
      </c>
      <c r="H34" s="491">
        <v>7</v>
      </c>
      <c r="I34" s="493">
        <v>8</v>
      </c>
    </row>
    <row r="35" spans="1:9" ht="48" hidden="1" customHeight="1" x14ac:dyDescent="0.3">
      <c r="A35" s="1463" t="s">
        <v>655</v>
      </c>
      <c r="B35" s="1464"/>
      <c r="C35" s="494">
        <f>F16*0</f>
        <v>0</v>
      </c>
      <c r="D35" s="495">
        <f>F17</f>
        <v>1100</v>
      </c>
      <c r="E35" s="496">
        <f>C35/D35</f>
        <v>0</v>
      </c>
      <c r="F35" s="421">
        <f>оклади!K11</f>
        <v>7310</v>
      </c>
      <c r="G35" s="421">
        <f>E35*F35</f>
        <v>0</v>
      </c>
      <c r="H35" s="421">
        <f>G36*[1]Штатное!F35/100</f>
        <v>0</v>
      </c>
      <c r="I35" s="421">
        <f>G35*1.082+H35</f>
        <v>0</v>
      </c>
    </row>
    <row r="36" spans="1:9" x14ac:dyDescent="0.3">
      <c r="A36" s="1465" t="s">
        <v>656</v>
      </c>
      <c r="B36" s="1466"/>
      <c r="C36" s="494">
        <f>F18</f>
        <v>62</v>
      </c>
      <c r="D36" s="495">
        <f>I30</f>
        <v>5000</v>
      </c>
      <c r="E36" s="496">
        <f>ROUND(C36/D36,3)</f>
        <v>1.2E-2</v>
      </c>
      <c r="F36" s="421">
        <f>оклади!K11</f>
        <v>7310</v>
      </c>
      <c r="G36" s="421">
        <f>E36*F36</f>
        <v>87.72</v>
      </c>
      <c r="H36" s="421">
        <f>G36*0.15</f>
        <v>13.157999999999999</v>
      </c>
      <c r="I36" s="421">
        <f>G36*1.09+H36</f>
        <v>108.7728</v>
      </c>
    </row>
    <row r="37" spans="1:9" x14ac:dyDescent="0.3">
      <c r="A37" s="1446" t="s">
        <v>219</v>
      </c>
      <c r="B37" s="1447"/>
      <c r="C37" s="497"/>
      <c r="D37" s="497"/>
      <c r="E37" s="498">
        <f>SUM(E35:E36)</f>
        <v>1.2E-2</v>
      </c>
      <c r="F37" s="423"/>
      <c r="G37" s="499">
        <f>SUM(G35:G36)</f>
        <v>87.72</v>
      </c>
      <c r="H37" s="499">
        <f>SUM(H35:H36)</f>
        <v>13.157999999999999</v>
      </c>
      <c r="I37" s="499">
        <f>SUM(I35:I36)</f>
        <v>108.7728</v>
      </c>
    </row>
    <row r="38" spans="1:9" x14ac:dyDescent="0.3">
      <c r="A38" s="500"/>
      <c r="B38" s="501"/>
      <c r="C38" s="501"/>
      <c r="D38" s="501"/>
      <c r="E38" s="501"/>
      <c r="F38" s="501"/>
      <c r="G38" s="501"/>
      <c r="H38" s="501"/>
      <c r="I38" s="501"/>
    </row>
    <row r="39" spans="1:9" x14ac:dyDescent="0.3">
      <c r="A39" s="1180" t="s">
        <v>657</v>
      </c>
      <c r="B39" s="1467"/>
      <c r="C39" s="1467"/>
      <c r="D39" s="1467"/>
      <c r="E39" s="1467"/>
      <c r="F39" s="1467"/>
      <c r="G39" s="1467"/>
      <c r="H39" s="1467"/>
      <c r="I39" s="1467"/>
    </row>
    <row r="40" spans="1:9" ht="60" x14ac:dyDescent="0.3">
      <c r="A40" s="1171" t="s">
        <v>274</v>
      </c>
      <c r="B40" s="1181"/>
      <c r="C40" s="226" t="s">
        <v>275</v>
      </c>
      <c r="D40" s="226" t="s">
        <v>493</v>
      </c>
      <c r="E40" s="226" t="s">
        <v>277</v>
      </c>
      <c r="F40" s="1171" t="s">
        <v>658</v>
      </c>
      <c r="G40" s="779"/>
      <c r="H40" s="1171" t="s">
        <v>659</v>
      </c>
      <c r="I40" s="1182"/>
    </row>
    <row r="41" spans="1:9" x14ac:dyDescent="0.3">
      <c r="A41" s="1171">
        <v>1</v>
      </c>
      <c r="B41" s="1181"/>
      <c r="C41" s="226">
        <v>2</v>
      </c>
      <c r="D41" s="226">
        <v>3</v>
      </c>
      <c r="E41" s="226">
        <v>4</v>
      </c>
      <c r="F41" s="1171">
        <v>5</v>
      </c>
      <c r="G41" s="779"/>
      <c r="H41" s="1171">
        <v>6</v>
      </c>
      <c r="I41" s="1182"/>
    </row>
    <row r="42" spans="1:9" ht="41.4" customHeight="1" x14ac:dyDescent="0.3">
      <c r="A42" s="1266" t="s">
        <v>280</v>
      </c>
      <c r="B42" s="1266"/>
      <c r="C42" s="399">
        <f>прибирання!C49</f>
        <v>1782768</v>
      </c>
      <c r="D42" s="238">
        <f>прибирання!D49</f>
        <v>4193729</v>
      </c>
      <c r="E42" s="472">
        <f>C42/D42*100</f>
        <v>42.51032911282536</v>
      </c>
      <c r="F42" s="1173">
        <f>I37</f>
        <v>108.7728</v>
      </c>
      <c r="G42" s="779"/>
      <c r="H42" s="1173">
        <f>E42*F42/100</f>
        <v>46.239675265235299</v>
      </c>
      <c r="I42" s="771"/>
    </row>
    <row r="43" spans="1:9" ht="22.2" customHeight="1" x14ac:dyDescent="0.3">
      <c r="A43" s="1266" t="s">
        <v>281</v>
      </c>
      <c r="B43" s="1266"/>
      <c r="C43" s="399">
        <f>прибирання!C50</f>
        <v>2914645</v>
      </c>
      <c r="D43" s="238">
        <f>прибирання!D50</f>
        <v>14598843</v>
      </c>
      <c r="E43" s="472">
        <f>C43/D43*100</f>
        <v>19.964904068082657</v>
      </c>
      <c r="F43" s="1173">
        <f>H42+H11+H12+H14</f>
        <v>181.01965793190197</v>
      </c>
      <c r="G43" s="779"/>
      <c r="H43" s="1173">
        <f>E43*F43/100</f>
        <v>36.14040105047561</v>
      </c>
      <c r="I43" s="771"/>
    </row>
    <row r="44" spans="1:9" ht="40.200000000000003" customHeight="1" x14ac:dyDescent="0.3">
      <c r="A44" s="1268" t="s">
        <v>282</v>
      </c>
      <c r="B44" s="1268"/>
      <c r="C44" s="400"/>
      <c r="D44" s="401"/>
      <c r="E44" s="473"/>
      <c r="F44" s="1176"/>
      <c r="G44" s="779"/>
      <c r="H44" s="1176">
        <f>SUM(H42:H43)</f>
        <v>82.380076315710909</v>
      </c>
      <c r="I44" s="771"/>
    </row>
  </sheetData>
  <mergeCells count="73">
    <mergeCell ref="A44:B44"/>
    <mergeCell ref="F44:G44"/>
    <mergeCell ref="H44:I44"/>
    <mergeCell ref="A42:B42"/>
    <mergeCell ref="F42:G42"/>
    <mergeCell ref="H42:I42"/>
    <mergeCell ref="A43:B43"/>
    <mergeCell ref="F43:G43"/>
    <mergeCell ref="H43:I43"/>
    <mergeCell ref="A39:I39"/>
    <mergeCell ref="A40:B40"/>
    <mergeCell ref="F40:G40"/>
    <mergeCell ref="H40:I40"/>
    <mergeCell ref="A41:B41"/>
    <mergeCell ref="F41:G41"/>
    <mergeCell ref="H41:I41"/>
    <mergeCell ref="A37:B37"/>
    <mergeCell ref="B24:D24"/>
    <mergeCell ref="F24:I24"/>
    <mergeCell ref="B25:D25"/>
    <mergeCell ref="F25:I25"/>
    <mergeCell ref="B28:G28"/>
    <mergeCell ref="B29:G29"/>
    <mergeCell ref="B30:G30"/>
    <mergeCell ref="A33:B33"/>
    <mergeCell ref="A34:B34"/>
    <mergeCell ref="A35:B35"/>
    <mergeCell ref="A36:B36"/>
    <mergeCell ref="B23:D23"/>
    <mergeCell ref="F23:G23"/>
    <mergeCell ref="H23:I23"/>
    <mergeCell ref="B21:D21"/>
    <mergeCell ref="F21:G21"/>
    <mergeCell ref="H21:I21"/>
    <mergeCell ref="B22:D22"/>
    <mergeCell ref="F22:G22"/>
    <mergeCell ref="H22:I22"/>
    <mergeCell ref="B18:D18"/>
    <mergeCell ref="F18:I18"/>
    <mergeCell ref="B19:D19"/>
    <mergeCell ref="F19:I19"/>
    <mergeCell ref="B20:D20"/>
    <mergeCell ref="F20:G20"/>
    <mergeCell ref="H20:I20"/>
    <mergeCell ref="B17:D17"/>
    <mergeCell ref="F17:I17"/>
    <mergeCell ref="B13:D13"/>
    <mergeCell ref="F13:G13"/>
    <mergeCell ref="H13:I13"/>
    <mergeCell ref="B14:D14"/>
    <mergeCell ref="F14:G14"/>
    <mergeCell ref="H14:I14"/>
    <mergeCell ref="B15:D15"/>
    <mergeCell ref="F15:G15"/>
    <mergeCell ref="H15:I15"/>
    <mergeCell ref="B16:D16"/>
    <mergeCell ref="F16:I16"/>
    <mergeCell ref="B11:D11"/>
    <mergeCell ref="F11:G11"/>
    <mergeCell ref="H11:I11"/>
    <mergeCell ref="B12:D12"/>
    <mergeCell ref="F12:G12"/>
    <mergeCell ref="H12:I12"/>
    <mergeCell ref="B7:I7"/>
    <mergeCell ref="A9:I9"/>
    <mergeCell ref="B10:D10"/>
    <mergeCell ref="F10:G10"/>
    <mergeCell ref="H10:I10"/>
    <mergeCell ref="F1:I1"/>
    <mergeCell ref="F2:I2"/>
    <mergeCell ref="F3:I3"/>
    <mergeCell ref="H4:I4"/>
    <mergeCell ref="A6:J6"/>
  </mergeCells>
  <pageMargins left="0.7" right="0.7" top="0.75" bottom="0.75" header="0.3" footer="0.3"/>
  <pageSetup paperSize="9" scale="87" orientation="portrait" r:id="rId1"/>
  <colBreaks count="1" manualBreakCount="1">
    <brk id="9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99D57-FD08-40D4-9A0A-24141B6A6F8C}">
  <dimension ref="A1:J33"/>
  <sheetViews>
    <sheetView topLeftCell="A10" zoomScaleNormal="100" workbookViewId="0">
      <selection activeCell="F32" sqref="F32"/>
    </sheetView>
  </sheetViews>
  <sheetFormatPr defaultRowHeight="14.4" x14ac:dyDescent="0.3"/>
  <cols>
    <col min="6" max="6" width="8.88671875" customWidth="1"/>
    <col min="7" max="7" width="9.109375" customWidth="1"/>
    <col min="8" max="8" width="14.21875" customWidth="1"/>
    <col min="9" max="9" width="15.5546875" customWidth="1"/>
  </cols>
  <sheetData>
    <row r="1" spans="1:10" x14ac:dyDescent="0.3">
      <c r="A1" t="str">
        <f>прибирання!A1</f>
        <v>м. КанівДніпробудівська7</v>
      </c>
      <c r="F1" s="1261" t="s">
        <v>211</v>
      </c>
      <c r="G1" s="1261"/>
      <c r="H1" s="1261"/>
      <c r="I1" s="1261"/>
    </row>
    <row r="2" spans="1:10" x14ac:dyDescent="0.3">
      <c r="F2" s="1261" t="s">
        <v>105</v>
      </c>
      <c r="G2" s="1261"/>
      <c r="H2" s="1261"/>
      <c r="I2" s="1261"/>
    </row>
    <row r="3" spans="1:10" x14ac:dyDescent="0.3">
      <c r="F3" s="1265" t="s">
        <v>634</v>
      </c>
      <c r="G3" s="1265"/>
      <c r="H3" s="1265"/>
      <c r="I3" s="1265"/>
    </row>
    <row r="4" spans="1:10" x14ac:dyDescent="0.3">
      <c r="F4" s="247"/>
      <c r="G4" s="248"/>
      <c r="H4" s="1262" t="s">
        <v>293</v>
      </c>
      <c r="I4" s="1262"/>
    </row>
    <row r="6" spans="1:10" x14ac:dyDescent="0.3">
      <c r="A6" s="1263" t="s">
        <v>297</v>
      </c>
      <c r="B6" s="1263"/>
      <c r="C6" s="1263"/>
      <c r="D6" s="1263"/>
      <c r="E6" s="1263"/>
      <c r="F6" s="1263"/>
      <c r="G6" s="1263"/>
      <c r="H6" s="1263"/>
      <c r="I6" s="1263"/>
      <c r="J6" s="532"/>
    </row>
    <row r="7" spans="1:10" ht="63" customHeight="1" x14ac:dyDescent="0.3">
      <c r="A7" s="1480" t="s">
        <v>676</v>
      </c>
      <c r="B7" s="1480"/>
      <c r="C7" s="1480"/>
      <c r="D7" s="1480"/>
      <c r="E7" s="1480"/>
      <c r="F7" s="1480"/>
      <c r="G7" s="1480"/>
      <c r="H7" s="1480"/>
      <c r="I7" s="1480"/>
    </row>
    <row r="9" spans="1:10" ht="27" x14ac:dyDescent="0.3">
      <c r="A9" s="1459" t="s">
        <v>666</v>
      </c>
      <c r="B9" s="1459"/>
      <c r="C9" s="1459"/>
      <c r="D9" s="1459"/>
      <c r="E9" s="779"/>
      <c r="F9" s="779"/>
      <c r="G9" s="486" t="s">
        <v>215</v>
      </c>
      <c r="H9" s="179" t="s">
        <v>216</v>
      </c>
      <c r="I9" s="179" t="s">
        <v>489</v>
      </c>
    </row>
    <row r="10" spans="1:10" ht="29.4" customHeight="1" x14ac:dyDescent="0.3">
      <c r="A10" s="1460" t="s">
        <v>677</v>
      </c>
      <c r="B10" s="1460"/>
      <c r="C10" s="1460"/>
      <c r="D10" s="1460"/>
      <c r="E10" s="779"/>
      <c r="F10" s="779"/>
      <c r="G10" s="468" t="s">
        <v>178</v>
      </c>
      <c r="H10" s="506">
        <f>F33</f>
        <v>17805</v>
      </c>
      <c r="I10" s="506">
        <f>ROUND(H10/12,2)</f>
        <v>1483.75</v>
      </c>
    </row>
    <row r="11" spans="1:10" ht="28.2" customHeight="1" x14ac:dyDescent="0.3">
      <c r="A11" s="1460" t="s">
        <v>301</v>
      </c>
      <c r="B11" s="1460"/>
      <c r="C11" s="1460"/>
      <c r="D11" s="1460"/>
      <c r="E11" s="779"/>
      <c r="F11" s="779"/>
      <c r="G11" s="468" t="s">
        <v>178</v>
      </c>
      <c r="H11" s="506">
        <f>I11*12</f>
        <v>3917.1000000000004</v>
      </c>
      <c r="I11" s="506">
        <f>'поточ рем. констр.ел '!I10*розрахунок!D40/100</f>
        <v>326.42500000000001</v>
      </c>
    </row>
    <row r="12" spans="1:10" x14ac:dyDescent="0.3">
      <c r="A12" s="1460" t="s">
        <v>500</v>
      </c>
      <c r="B12" s="1460"/>
      <c r="C12" s="1460"/>
      <c r="D12" s="1460"/>
      <c r="E12" s="779"/>
      <c r="F12" s="779"/>
      <c r="G12" s="468" t="s">
        <v>178</v>
      </c>
      <c r="H12" s="506">
        <f>I12*12</f>
        <v>16357.527666520275</v>
      </c>
      <c r="I12" s="506">
        <f>I24</f>
        <v>1363.1273055433562</v>
      </c>
    </row>
    <row r="13" spans="1:10" x14ac:dyDescent="0.3">
      <c r="A13" s="1460" t="s">
        <v>638</v>
      </c>
      <c r="B13" s="1460"/>
      <c r="C13" s="1460"/>
      <c r="D13" s="1460"/>
      <c r="E13" s="779"/>
      <c r="F13" s="779"/>
      <c r="G13" s="468" t="s">
        <v>178</v>
      </c>
      <c r="H13" s="506">
        <f>G33</f>
        <v>14729</v>
      </c>
      <c r="I13" s="506">
        <f>H13/12</f>
        <v>1227.4166666666667</v>
      </c>
    </row>
    <row r="14" spans="1:10" x14ac:dyDescent="0.3">
      <c r="A14" s="1475" t="s">
        <v>667</v>
      </c>
      <c r="B14" s="1156"/>
      <c r="C14" s="1156"/>
      <c r="D14" s="1156"/>
      <c r="E14" s="779"/>
      <c r="F14" s="779"/>
      <c r="G14" s="468" t="s">
        <v>178</v>
      </c>
      <c r="H14" s="484">
        <f>I33</f>
        <v>0</v>
      </c>
      <c r="I14" s="507">
        <f>H14/12</f>
        <v>0</v>
      </c>
    </row>
    <row r="15" spans="1:10" x14ac:dyDescent="0.3">
      <c r="A15" s="1295" t="s">
        <v>665</v>
      </c>
      <c r="B15" s="727"/>
      <c r="C15" s="727"/>
      <c r="D15" s="727"/>
      <c r="E15" s="727"/>
      <c r="F15" s="728"/>
      <c r="G15" s="215" t="s">
        <v>178</v>
      </c>
      <c r="H15" s="508">
        <f>SUM(H10:H14)</f>
        <v>52808.627666520275</v>
      </c>
      <c r="I15" s="509">
        <f>SUM(I10:I14)</f>
        <v>4400.7189722100229</v>
      </c>
    </row>
    <row r="16" spans="1:10" ht="14.4" customHeight="1" x14ac:dyDescent="0.3">
      <c r="A16" s="1448" t="s">
        <v>120</v>
      </c>
      <c r="B16" s="1476"/>
      <c r="C16" s="1476"/>
      <c r="D16" s="1476"/>
      <c r="E16" s="1476"/>
      <c r="F16" s="1477"/>
      <c r="G16" s="215" t="s">
        <v>178</v>
      </c>
      <c r="H16" s="1478">
        <f>Характеристика!N18</f>
        <v>3207.38</v>
      </c>
      <c r="I16" s="1218"/>
    </row>
    <row r="17" spans="1:9" x14ac:dyDescent="0.3">
      <c r="A17" s="1239" t="s">
        <v>498</v>
      </c>
      <c r="B17" s="1239"/>
      <c r="C17" s="1239"/>
      <c r="D17" s="1239"/>
      <c r="E17" s="779"/>
      <c r="F17" s="779"/>
      <c r="G17" s="215" t="s">
        <v>178</v>
      </c>
      <c r="H17" s="1479">
        <f>I15/H16</f>
        <v>1.372060364599774</v>
      </c>
      <c r="I17" s="1397"/>
    </row>
    <row r="18" spans="1:9" x14ac:dyDescent="0.3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3">
      <c r="A19" s="510"/>
      <c r="B19" s="1474" t="s">
        <v>668</v>
      </c>
      <c r="C19" s="1408"/>
      <c r="D19" s="1408"/>
      <c r="E19" s="1408"/>
      <c r="F19" s="1408"/>
      <c r="G19" s="1408"/>
      <c r="H19" s="1408"/>
      <c r="I19" s="1408"/>
    </row>
    <row r="20" spans="1:9" ht="60" x14ac:dyDescent="0.3">
      <c r="A20" s="1183" t="s">
        <v>274</v>
      </c>
      <c r="B20" s="1301"/>
      <c r="C20" s="1183" t="s">
        <v>275</v>
      </c>
      <c r="D20" s="1301"/>
      <c r="E20" s="1183" t="s">
        <v>669</v>
      </c>
      <c r="F20" s="1301"/>
      <c r="G20" s="226" t="s">
        <v>277</v>
      </c>
      <c r="H20" s="227" t="s">
        <v>670</v>
      </c>
      <c r="I20" s="226" t="s">
        <v>671</v>
      </c>
    </row>
    <row r="21" spans="1:9" x14ac:dyDescent="0.3">
      <c r="A21" s="1183">
        <v>1</v>
      </c>
      <c r="B21" s="1299"/>
      <c r="C21" s="1183">
        <v>2</v>
      </c>
      <c r="D21" s="1301"/>
      <c r="E21" s="1183">
        <v>3</v>
      </c>
      <c r="F21" s="1301"/>
      <c r="G21" s="227">
        <v>4</v>
      </c>
      <c r="H21" s="227">
        <v>5</v>
      </c>
      <c r="I21" s="226">
        <v>6</v>
      </c>
    </row>
    <row r="22" spans="1:9" ht="33.6" customHeight="1" x14ac:dyDescent="0.3">
      <c r="A22" s="1400" t="s">
        <v>280</v>
      </c>
      <c r="B22" s="1401"/>
      <c r="C22" s="1267">
        <f>прибирання!C49</f>
        <v>1782768</v>
      </c>
      <c r="D22" s="1171"/>
      <c r="E22" s="1173">
        <f>прибирання!D49</f>
        <v>4193729</v>
      </c>
      <c r="F22" s="1173"/>
      <c r="G22" s="463">
        <f>C22/E22*100</f>
        <v>42.51032911282536</v>
      </c>
      <c r="H22" s="479">
        <f>I10</f>
        <v>1483.75</v>
      </c>
      <c r="I22" s="238">
        <f>G22*H22/100</f>
        <v>630.74700821154624</v>
      </c>
    </row>
    <row r="23" spans="1:9" ht="33" customHeight="1" x14ac:dyDescent="0.3">
      <c r="A23" s="1400" t="s">
        <v>281</v>
      </c>
      <c r="B23" s="1401"/>
      <c r="C23" s="1267">
        <f>прибирання!C50</f>
        <v>2914645</v>
      </c>
      <c r="D23" s="1171"/>
      <c r="E23" s="1173">
        <f>прибирання!D50</f>
        <v>14598843</v>
      </c>
      <c r="F23" s="1173"/>
      <c r="G23" s="463">
        <f>C23/E23*100</f>
        <v>19.964904068082657</v>
      </c>
      <c r="H23" s="479">
        <f>I10+I11+I13+I14+I22</f>
        <v>3668.3386748782132</v>
      </c>
      <c r="I23" s="238">
        <f>G23*H23/100</f>
        <v>732.38029733180986</v>
      </c>
    </row>
    <row r="24" spans="1:9" ht="24.6" customHeight="1" x14ac:dyDescent="0.3">
      <c r="A24" s="1404" t="s">
        <v>282</v>
      </c>
      <c r="B24" s="1405"/>
      <c r="C24" s="1269"/>
      <c r="D24" s="1174"/>
      <c r="E24" s="1176"/>
      <c r="F24" s="1176"/>
      <c r="G24" s="464"/>
      <c r="H24" s="480"/>
      <c r="I24" s="401">
        <f>SUM(I22:I23)</f>
        <v>1363.1273055433562</v>
      </c>
    </row>
    <row r="25" spans="1:9" x14ac:dyDescent="0.3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3">
      <c r="A26" s="1472" t="s">
        <v>672</v>
      </c>
      <c r="B26" s="1472"/>
      <c r="C26" s="1472"/>
      <c r="D26" s="1472"/>
      <c r="E26" s="1472"/>
      <c r="F26" s="1472"/>
      <c r="G26" s="1472"/>
      <c r="H26" s="822"/>
      <c r="I26" s="822"/>
    </row>
    <row r="27" spans="1:9" x14ac:dyDescent="0.3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52.8" x14ac:dyDescent="0.3">
      <c r="A28" s="179" t="s">
        <v>213</v>
      </c>
      <c r="B28" s="1334" t="s">
        <v>673</v>
      </c>
      <c r="C28" s="1454"/>
      <c r="D28" s="1455"/>
      <c r="E28" s="179" t="s">
        <v>215</v>
      </c>
      <c r="F28" s="179" t="s">
        <v>674</v>
      </c>
      <c r="G28" s="478" t="s">
        <v>675</v>
      </c>
      <c r="H28" s="512"/>
      <c r="I28" s="513"/>
    </row>
    <row r="29" spans="1:9" x14ac:dyDescent="0.3">
      <c r="A29" s="514">
        <v>1</v>
      </c>
      <c r="B29" s="1473">
        <v>2</v>
      </c>
      <c r="C29" s="1302"/>
      <c r="D29" s="1302"/>
      <c r="E29" s="514">
        <v>3</v>
      </c>
      <c r="F29" s="514">
        <v>4</v>
      </c>
      <c r="G29" s="515">
        <v>5</v>
      </c>
      <c r="H29" s="516"/>
      <c r="I29" s="517"/>
    </row>
    <row r="30" spans="1:9" x14ac:dyDescent="0.3">
      <c r="A30" s="514">
        <v>1</v>
      </c>
      <c r="B30" s="1468"/>
      <c r="C30" s="1454"/>
      <c r="D30" s="1455"/>
      <c r="E30" s="518" t="s">
        <v>178</v>
      </c>
      <c r="F30" s="519"/>
      <c r="G30" s="520"/>
      <c r="H30" s="521"/>
      <c r="I30" s="522"/>
    </row>
    <row r="31" spans="1:9" x14ac:dyDescent="0.3">
      <c r="A31" s="514">
        <v>2</v>
      </c>
      <c r="B31" s="1469" t="s">
        <v>937</v>
      </c>
      <c r="C31" s="1419"/>
      <c r="D31" s="1420"/>
      <c r="E31" s="523" t="s">
        <v>178</v>
      </c>
      <c r="F31" s="519">
        <v>17805</v>
      </c>
      <c r="G31" s="520">
        <v>14729</v>
      </c>
      <c r="H31" s="524"/>
      <c r="I31" s="525"/>
    </row>
    <row r="32" spans="1:9" x14ac:dyDescent="0.3">
      <c r="A32" s="526">
        <v>3</v>
      </c>
      <c r="B32" s="1470"/>
      <c r="C32" s="1413"/>
      <c r="D32" s="1414"/>
      <c r="E32" s="523" t="s">
        <v>178</v>
      </c>
      <c r="F32" s="519"/>
      <c r="G32" s="520"/>
      <c r="H32" s="524"/>
      <c r="I32" s="525"/>
    </row>
    <row r="33" spans="1:9" x14ac:dyDescent="0.3">
      <c r="A33" s="527"/>
      <c r="B33" s="1471" t="s">
        <v>219</v>
      </c>
      <c r="C33" s="1419"/>
      <c r="D33" s="1420"/>
      <c r="E33" s="528"/>
      <c r="F33" s="529">
        <f>SUM(F30:F32)</f>
        <v>17805</v>
      </c>
      <c r="G33" s="529">
        <f>SUM(G30:G32)</f>
        <v>14729</v>
      </c>
      <c r="H33" s="530"/>
      <c r="I33" s="531"/>
    </row>
  </sheetData>
  <mergeCells count="40">
    <mergeCell ref="A7:I7"/>
    <mergeCell ref="F1:I1"/>
    <mergeCell ref="F2:I2"/>
    <mergeCell ref="F3:I3"/>
    <mergeCell ref="H4:I4"/>
    <mergeCell ref="A6:I6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20:B20"/>
    <mergeCell ref="C20:D20"/>
    <mergeCell ref="E20:F20"/>
    <mergeCell ref="A21:B21"/>
    <mergeCell ref="C21:D21"/>
    <mergeCell ref="E21:F21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B30:D30"/>
    <mergeCell ref="B31:D31"/>
    <mergeCell ref="B32:D32"/>
    <mergeCell ref="B33:D33"/>
    <mergeCell ref="A24:B24"/>
    <mergeCell ref="C24:D24"/>
  </mergeCells>
  <pageMargins left="0.7" right="0.7" top="0.75" bottom="0.75" header="0.3" footer="0.3"/>
  <pageSetup paperSize="9" scale="8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1451D-4797-46D5-8745-604823A2E5D4}">
  <dimension ref="A1:J33"/>
  <sheetViews>
    <sheetView topLeftCell="A13" zoomScaleNormal="100" workbookViewId="0">
      <selection activeCell="F30" sqref="F30"/>
    </sheetView>
  </sheetViews>
  <sheetFormatPr defaultRowHeight="14.4" x14ac:dyDescent="0.3"/>
  <cols>
    <col min="6" max="6" width="8.6640625" customWidth="1"/>
    <col min="7" max="7" width="9.109375" customWidth="1"/>
    <col min="8" max="8" width="14.21875" customWidth="1"/>
    <col min="9" max="9" width="15.5546875" customWidth="1"/>
  </cols>
  <sheetData>
    <row r="1" spans="1:10" x14ac:dyDescent="0.3">
      <c r="A1" t="str">
        <f>прибирання!A1</f>
        <v>м. КанівДніпробудівська7</v>
      </c>
      <c r="F1" s="1261" t="s">
        <v>211</v>
      </c>
      <c r="G1" s="1261"/>
      <c r="H1" s="1261"/>
      <c r="I1" s="1261"/>
    </row>
    <row r="2" spans="1:10" x14ac:dyDescent="0.3">
      <c r="F2" s="1261" t="s">
        <v>105</v>
      </c>
      <c r="G2" s="1261"/>
      <c r="H2" s="1261"/>
      <c r="I2" s="1261"/>
    </row>
    <row r="3" spans="1:10" x14ac:dyDescent="0.3">
      <c r="F3" s="1265" t="s">
        <v>634</v>
      </c>
      <c r="G3" s="1265"/>
      <c r="H3" s="1265"/>
      <c r="I3" s="1265"/>
    </row>
    <row r="4" spans="1:10" x14ac:dyDescent="0.3">
      <c r="F4" s="247"/>
      <c r="G4" s="248"/>
      <c r="H4" s="1262" t="s">
        <v>293</v>
      </c>
      <c r="I4" s="1262"/>
    </row>
    <row r="6" spans="1:10" x14ac:dyDescent="0.3">
      <c r="A6" s="1263" t="s">
        <v>297</v>
      </c>
      <c r="B6" s="1263"/>
      <c r="C6" s="1263"/>
      <c r="D6" s="1263"/>
      <c r="E6" s="1263"/>
      <c r="F6" s="1263"/>
      <c r="G6" s="1263"/>
      <c r="H6" s="1263"/>
      <c r="I6" s="1263"/>
      <c r="J6" s="532"/>
    </row>
    <row r="7" spans="1:10" ht="40.200000000000003" customHeight="1" x14ac:dyDescent="0.3">
      <c r="A7" s="1481" t="s">
        <v>978</v>
      </c>
      <c r="B7" s="1481"/>
      <c r="C7" s="1481"/>
      <c r="D7" s="1481"/>
      <c r="E7" s="1481"/>
      <c r="F7" s="1481"/>
      <c r="G7" s="1481"/>
      <c r="H7" s="1481"/>
      <c r="I7" s="1481"/>
    </row>
    <row r="9" spans="1:10" ht="27" x14ac:dyDescent="0.3">
      <c r="A9" s="1459" t="s">
        <v>666</v>
      </c>
      <c r="B9" s="1459"/>
      <c r="C9" s="1459"/>
      <c r="D9" s="1459"/>
      <c r="E9" s="779"/>
      <c r="F9" s="779"/>
      <c r="G9" s="486" t="s">
        <v>215</v>
      </c>
      <c r="H9" s="179" t="s">
        <v>216</v>
      </c>
      <c r="I9" s="179" t="s">
        <v>489</v>
      </c>
    </row>
    <row r="10" spans="1:10" ht="29.4" customHeight="1" x14ac:dyDescent="0.3">
      <c r="A10" s="1460" t="s">
        <v>678</v>
      </c>
      <c r="B10" s="1460"/>
      <c r="C10" s="1460"/>
      <c r="D10" s="1460"/>
      <c r="E10" s="779"/>
      <c r="F10" s="779"/>
      <c r="G10" s="468" t="s">
        <v>178</v>
      </c>
      <c r="H10" s="506">
        <f>F33</f>
        <v>17025</v>
      </c>
      <c r="I10" s="506">
        <f>ROUND(H10/12,2)</f>
        <v>1418.75</v>
      </c>
    </row>
    <row r="11" spans="1:10" ht="28.2" customHeight="1" x14ac:dyDescent="0.3">
      <c r="A11" s="1460" t="s">
        <v>301</v>
      </c>
      <c r="B11" s="1460"/>
      <c r="C11" s="1460"/>
      <c r="D11" s="1460"/>
      <c r="E11" s="779"/>
      <c r="F11" s="779"/>
      <c r="G11" s="468" t="s">
        <v>178</v>
      </c>
      <c r="H11" s="506">
        <f>I11*12</f>
        <v>3745.5</v>
      </c>
      <c r="I11" s="506">
        <f>'поточ рем. внутр.б.мереж'!I10*розрахунок!D40/100</f>
        <v>312.125</v>
      </c>
    </row>
    <row r="12" spans="1:10" x14ac:dyDescent="0.3">
      <c r="A12" s="1460" t="s">
        <v>500</v>
      </c>
      <c r="B12" s="1460"/>
      <c r="C12" s="1460"/>
      <c r="D12" s="1460"/>
      <c r="E12" s="779"/>
      <c r="F12" s="779"/>
      <c r="G12" s="468" t="s">
        <v>178</v>
      </c>
      <c r="H12" s="506">
        <f>I12*12</f>
        <v>16692.139898147845</v>
      </c>
      <c r="I12" s="506">
        <f>I24</f>
        <v>1391.0116581789871</v>
      </c>
    </row>
    <row r="13" spans="1:10" x14ac:dyDescent="0.3">
      <c r="A13" s="1460" t="s">
        <v>638</v>
      </c>
      <c r="B13" s="1460"/>
      <c r="C13" s="1460"/>
      <c r="D13" s="1460"/>
      <c r="E13" s="779"/>
      <c r="F13" s="779"/>
      <c r="G13" s="468" t="s">
        <v>178</v>
      </c>
      <c r="H13" s="506">
        <f>G33</f>
        <v>19349</v>
      </c>
      <c r="I13" s="506">
        <f>H13/12</f>
        <v>1612.4166666666667</v>
      </c>
    </row>
    <row r="14" spans="1:10" hidden="1" x14ac:dyDescent="0.3">
      <c r="A14" s="1475" t="s">
        <v>667</v>
      </c>
      <c r="B14" s="1156"/>
      <c r="C14" s="1156"/>
      <c r="D14" s="1156"/>
      <c r="E14" s="779"/>
      <c r="F14" s="779"/>
      <c r="G14" s="468" t="s">
        <v>178</v>
      </c>
      <c r="H14" s="484">
        <f>I33</f>
        <v>0</v>
      </c>
      <c r="I14" s="507">
        <f>H14/12</f>
        <v>0</v>
      </c>
    </row>
    <row r="15" spans="1:10" x14ac:dyDescent="0.3">
      <c r="A15" s="1295" t="s">
        <v>665</v>
      </c>
      <c r="B15" s="727"/>
      <c r="C15" s="727"/>
      <c r="D15" s="727"/>
      <c r="E15" s="727"/>
      <c r="F15" s="728"/>
      <c r="G15" s="215" t="s">
        <v>178</v>
      </c>
      <c r="H15" s="508">
        <f>SUM(H10:H14)</f>
        <v>56811.639898147841</v>
      </c>
      <c r="I15" s="509">
        <f>SUM(I10:I14)</f>
        <v>4734.3033248456541</v>
      </c>
    </row>
    <row r="16" spans="1:10" ht="14.4" customHeight="1" x14ac:dyDescent="0.3">
      <c r="A16" s="1448" t="s">
        <v>120</v>
      </c>
      <c r="B16" s="1476"/>
      <c r="C16" s="1476"/>
      <c r="D16" s="1476"/>
      <c r="E16" s="1476"/>
      <c r="F16" s="1477"/>
      <c r="G16" s="215" t="s">
        <v>178</v>
      </c>
      <c r="H16" s="1478">
        <f>Характеристика!N18</f>
        <v>3207.38</v>
      </c>
      <c r="I16" s="1218"/>
    </row>
    <row r="17" spans="1:9" x14ac:dyDescent="0.3">
      <c r="A17" s="1239" t="s">
        <v>498</v>
      </c>
      <c r="B17" s="1239"/>
      <c r="C17" s="1239"/>
      <c r="D17" s="1239"/>
      <c r="E17" s="779"/>
      <c r="F17" s="779"/>
      <c r="G17" s="215" t="s">
        <v>178</v>
      </c>
      <c r="H17" s="1479">
        <f>I15/H16</f>
        <v>1.4760656126949889</v>
      </c>
      <c r="I17" s="1397"/>
    </row>
    <row r="18" spans="1:9" x14ac:dyDescent="0.3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3">
      <c r="A19" s="510"/>
      <c r="B19" s="1474" t="s">
        <v>668</v>
      </c>
      <c r="C19" s="1408"/>
      <c r="D19" s="1408"/>
      <c r="E19" s="1408"/>
      <c r="F19" s="1408"/>
      <c r="G19" s="1408"/>
      <c r="H19" s="1408"/>
      <c r="I19" s="1408"/>
    </row>
    <row r="20" spans="1:9" ht="60" x14ac:dyDescent="0.3">
      <c r="A20" s="1183" t="s">
        <v>274</v>
      </c>
      <c r="B20" s="1301"/>
      <c r="C20" s="1183" t="s">
        <v>275</v>
      </c>
      <c r="D20" s="1301"/>
      <c r="E20" s="1183" t="s">
        <v>669</v>
      </c>
      <c r="F20" s="1301"/>
      <c r="G20" s="226" t="s">
        <v>277</v>
      </c>
      <c r="H20" s="227" t="s">
        <v>670</v>
      </c>
      <c r="I20" s="226" t="s">
        <v>671</v>
      </c>
    </row>
    <row r="21" spans="1:9" x14ac:dyDescent="0.3">
      <c r="A21" s="1183">
        <v>1</v>
      </c>
      <c r="B21" s="1299"/>
      <c r="C21" s="1183">
        <v>2</v>
      </c>
      <c r="D21" s="1301"/>
      <c r="E21" s="1183">
        <v>3</v>
      </c>
      <c r="F21" s="1301"/>
      <c r="G21" s="227">
        <v>4</v>
      </c>
      <c r="H21" s="227">
        <v>5</v>
      </c>
      <c r="I21" s="226">
        <v>6</v>
      </c>
    </row>
    <row r="22" spans="1:9" ht="33.6" customHeight="1" x14ac:dyDescent="0.3">
      <c r="A22" s="1400" t="s">
        <v>280</v>
      </c>
      <c r="B22" s="1401"/>
      <c r="C22" s="1267">
        <f>прибирання!C49</f>
        <v>1782768</v>
      </c>
      <c r="D22" s="1171"/>
      <c r="E22" s="1173">
        <f>прибирання!D49</f>
        <v>4193729</v>
      </c>
      <c r="F22" s="1173"/>
      <c r="G22" s="463">
        <f>C22/E22*100</f>
        <v>42.51032911282536</v>
      </c>
      <c r="H22" s="479">
        <f>I10</f>
        <v>1418.75</v>
      </c>
      <c r="I22" s="238">
        <f>G22*H22/100</f>
        <v>603.11529428820972</v>
      </c>
    </row>
    <row r="23" spans="1:9" ht="33" customHeight="1" x14ac:dyDescent="0.3">
      <c r="A23" s="1400" t="s">
        <v>281</v>
      </c>
      <c r="B23" s="1401"/>
      <c r="C23" s="1267">
        <f>прибирання!C50</f>
        <v>2914645</v>
      </c>
      <c r="D23" s="1171"/>
      <c r="E23" s="1173">
        <f>прибирання!D50</f>
        <v>14598843</v>
      </c>
      <c r="F23" s="1173"/>
      <c r="G23" s="463">
        <f>C23/E23*100</f>
        <v>19.964904068082657</v>
      </c>
      <c r="H23" s="479">
        <f>I10+I11+I13+I14+I22</f>
        <v>3946.4069609548769</v>
      </c>
      <c r="I23" s="238">
        <f>G23*H23/100</f>
        <v>787.89636389077748</v>
      </c>
    </row>
    <row r="24" spans="1:9" ht="24.6" customHeight="1" x14ac:dyDescent="0.3">
      <c r="A24" s="1404" t="s">
        <v>282</v>
      </c>
      <c r="B24" s="1405"/>
      <c r="C24" s="1269"/>
      <c r="D24" s="1174"/>
      <c r="E24" s="1176"/>
      <c r="F24" s="1176"/>
      <c r="G24" s="464"/>
      <c r="H24" s="480"/>
      <c r="I24" s="401">
        <f>SUM(I22:I23)</f>
        <v>1391.0116581789871</v>
      </c>
    </row>
    <row r="25" spans="1:9" x14ac:dyDescent="0.3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3">
      <c r="A26" s="1472" t="s">
        <v>672</v>
      </c>
      <c r="B26" s="1472"/>
      <c r="C26" s="1472"/>
      <c r="D26" s="1472"/>
      <c r="E26" s="1472"/>
      <c r="F26" s="1472"/>
      <c r="G26" s="1472"/>
      <c r="H26" s="822"/>
      <c r="I26" s="822"/>
    </row>
    <row r="27" spans="1:9" x14ac:dyDescent="0.3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52.8" x14ac:dyDescent="0.3">
      <c r="A28" s="179" t="s">
        <v>213</v>
      </c>
      <c r="B28" s="1334" t="s">
        <v>673</v>
      </c>
      <c r="C28" s="1454"/>
      <c r="D28" s="1455"/>
      <c r="E28" s="179" t="s">
        <v>215</v>
      </c>
      <c r="F28" s="179" t="s">
        <v>674</v>
      </c>
      <c r="G28" s="478" t="s">
        <v>675</v>
      </c>
      <c r="H28" s="512"/>
      <c r="I28" s="513"/>
    </row>
    <row r="29" spans="1:9" x14ac:dyDescent="0.3">
      <c r="A29" s="514">
        <v>1</v>
      </c>
      <c r="B29" s="1473">
        <v>2</v>
      </c>
      <c r="C29" s="1302"/>
      <c r="D29" s="1302"/>
      <c r="E29" s="514">
        <v>3</v>
      </c>
      <c r="F29" s="514">
        <v>4</v>
      </c>
      <c r="G29" s="515">
        <v>5</v>
      </c>
      <c r="H29" s="516"/>
      <c r="I29" s="517"/>
    </row>
    <row r="30" spans="1:9" x14ac:dyDescent="0.3">
      <c r="A30" s="514">
        <v>1</v>
      </c>
      <c r="B30" s="1468" t="s">
        <v>832</v>
      </c>
      <c r="C30" s="1454"/>
      <c r="D30" s="1455"/>
      <c r="E30" s="518" t="s">
        <v>178</v>
      </c>
      <c r="F30" s="519">
        <v>13525</v>
      </c>
      <c r="G30" s="520">
        <v>16849</v>
      </c>
      <c r="H30" s="521"/>
      <c r="I30" s="522"/>
    </row>
    <row r="31" spans="1:9" x14ac:dyDescent="0.3">
      <c r="A31" s="514">
        <v>2</v>
      </c>
      <c r="B31" s="1469" t="s">
        <v>983</v>
      </c>
      <c r="C31" s="1419"/>
      <c r="D31" s="1420"/>
      <c r="E31" s="523" t="s">
        <v>178</v>
      </c>
      <c r="F31" s="519">
        <v>3500</v>
      </c>
      <c r="G31" s="520">
        <v>2500</v>
      </c>
      <c r="H31" s="524"/>
      <c r="I31" s="525"/>
    </row>
    <row r="32" spans="1:9" x14ac:dyDescent="0.3">
      <c r="A32" s="526">
        <v>3</v>
      </c>
      <c r="B32" s="1470"/>
      <c r="C32" s="1413"/>
      <c r="D32" s="1414"/>
      <c r="E32" s="523" t="s">
        <v>178</v>
      </c>
      <c r="F32" s="519"/>
      <c r="G32" s="520"/>
      <c r="H32" s="524"/>
      <c r="I32" s="525"/>
    </row>
    <row r="33" spans="1:9" x14ac:dyDescent="0.3">
      <c r="A33" s="527"/>
      <c r="B33" s="1471" t="s">
        <v>219</v>
      </c>
      <c r="C33" s="1419"/>
      <c r="D33" s="1420"/>
      <c r="E33" s="528"/>
      <c r="F33" s="529">
        <f>SUM(F30:F32)</f>
        <v>17025</v>
      </c>
      <c r="G33" s="529">
        <f>SUM(G30:G32)</f>
        <v>19349</v>
      </c>
      <c r="H33" s="530"/>
      <c r="I33" s="531"/>
    </row>
  </sheetData>
  <mergeCells count="40">
    <mergeCell ref="A15:F15"/>
    <mergeCell ref="A16:F16"/>
    <mergeCell ref="H16:I16"/>
    <mergeCell ref="A9:F9"/>
    <mergeCell ref="A10:F10"/>
    <mergeCell ref="A11:F11"/>
    <mergeCell ref="A12:F12"/>
    <mergeCell ref="A13:F13"/>
    <mergeCell ref="A14:F14"/>
    <mergeCell ref="B19:I19"/>
    <mergeCell ref="A20:B20"/>
    <mergeCell ref="C20:D20"/>
    <mergeCell ref="E20:F20"/>
    <mergeCell ref="A17:F17"/>
    <mergeCell ref="H17:I17"/>
    <mergeCell ref="A24:B24"/>
    <mergeCell ref="C24:D24"/>
    <mergeCell ref="E24:F24"/>
    <mergeCell ref="A21:B21"/>
    <mergeCell ref="C21:D21"/>
    <mergeCell ref="E21:F21"/>
    <mergeCell ref="A22:B22"/>
    <mergeCell ref="C22:D22"/>
    <mergeCell ref="E22:F22"/>
    <mergeCell ref="B33:D33"/>
    <mergeCell ref="F1:I1"/>
    <mergeCell ref="F2:I2"/>
    <mergeCell ref="F3:I3"/>
    <mergeCell ref="H4:I4"/>
    <mergeCell ref="A6:I6"/>
    <mergeCell ref="A7:I7"/>
    <mergeCell ref="A26:I26"/>
    <mergeCell ref="B28:D28"/>
    <mergeCell ref="B29:D29"/>
    <mergeCell ref="B30:D30"/>
    <mergeCell ref="B31:D31"/>
    <mergeCell ref="B32:D32"/>
    <mergeCell ref="A23:B23"/>
    <mergeCell ref="C23:D23"/>
    <mergeCell ref="E23:F23"/>
  </mergeCells>
  <pageMargins left="0.7" right="0.7" top="0.75" bottom="0.75" header="0.3" footer="0.3"/>
  <pageSetup paperSize="9" scale="9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B133C-8FBE-4089-877F-FE5C211BAECE}">
  <dimension ref="A1:J77"/>
  <sheetViews>
    <sheetView topLeftCell="A7" workbookViewId="0">
      <selection activeCell="I12" sqref="I12:J12"/>
    </sheetView>
  </sheetViews>
  <sheetFormatPr defaultRowHeight="14.4" x14ac:dyDescent="0.3"/>
  <cols>
    <col min="1" max="1" width="6.88671875" customWidth="1"/>
    <col min="5" max="5" width="14.33203125" customWidth="1"/>
  </cols>
  <sheetData>
    <row r="1" spans="1:10" x14ac:dyDescent="0.3">
      <c r="A1" s="12" t="str">
        <f>прибирання!A1</f>
        <v>м. КанівДніпробудівська7</v>
      </c>
      <c r="G1" s="1261" t="s">
        <v>211</v>
      </c>
      <c r="H1" s="1261"/>
      <c r="I1" s="1261"/>
      <c r="J1" s="1261"/>
    </row>
    <row r="2" spans="1:10" x14ac:dyDescent="0.3">
      <c r="G2" s="1261" t="s">
        <v>105</v>
      </c>
      <c r="H2" s="1261"/>
      <c r="I2" s="1261"/>
      <c r="J2" s="1261"/>
    </row>
    <row r="3" spans="1:10" x14ac:dyDescent="0.3">
      <c r="G3" s="1265" t="s">
        <v>634</v>
      </c>
      <c r="H3" s="1265"/>
      <c r="I3" s="1265"/>
      <c r="J3" s="1265"/>
    </row>
    <row r="4" spans="1:10" x14ac:dyDescent="0.3">
      <c r="G4" s="247"/>
      <c r="H4" s="248"/>
      <c r="I4" s="1262" t="s">
        <v>293</v>
      </c>
      <c r="J4" s="1262"/>
    </row>
    <row r="6" spans="1:10" x14ac:dyDescent="0.3">
      <c r="A6" s="1263" t="s">
        <v>297</v>
      </c>
      <c r="B6" s="1263"/>
      <c r="C6" s="1263"/>
      <c r="D6" s="1263"/>
      <c r="E6" s="1263"/>
      <c r="F6" s="1263"/>
      <c r="G6" s="1263"/>
      <c r="H6" s="1263"/>
      <c r="I6" s="1263"/>
      <c r="J6" s="1263"/>
    </row>
    <row r="7" spans="1:10" x14ac:dyDescent="0.3">
      <c r="A7" s="1482" t="s">
        <v>693</v>
      </c>
      <c r="B7" s="1483"/>
      <c r="C7" s="1483"/>
      <c r="D7" s="1483"/>
      <c r="E7" s="1483"/>
      <c r="F7" s="1483"/>
      <c r="G7" s="1483"/>
      <c r="H7" s="1483"/>
      <c r="I7" s="1483"/>
      <c r="J7" s="1483"/>
    </row>
    <row r="8" spans="1:10" x14ac:dyDescent="0.3">
      <c r="A8" s="561"/>
      <c r="B8" s="562"/>
      <c r="C8" s="562"/>
      <c r="D8" s="562"/>
      <c r="E8" s="562"/>
      <c r="F8" s="562"/>
      <c r="G8" s="562"/>
      <c r="H8" s="562"/>
      <c r="I8" s="562"/>
      <c r="J8" s="562"/>
    </row>
    <row r="9" spans="1:10" x14ac:dyDescent="0.3">
      <c r="A9" s="239" t="s">
        <v>694</v>
      </c>
    </row>
    <row r="10" spans="1:10" ht="26.4" x14ac:dyDescent="0.3">
      <c r="A10" s="179" t="s">
        <v>227</v>
      </c>
      <c r="B10" s="1257" t="s">
        <v>214</v>
      </c>
      <c r="C10" s="1532"/>
      <c r="D10" s="1532"/>
      <c r="E10" s="1532"/>
      <c r="F10" s="179" t="s">
        <v>215</v>
      </c>
      <c r="G10" s="1257" t="s">
        <v>216</v>
      </c>
      <c r="H10" s="1532"/>
      <c r="I10" s="1257" t="s">
        <v>501</v>
      </c>
      <c r="J10" s="1533"/>
    </row>
    <row r="11" spans="1:10" ht="18.600000000000001" customHeight="1" x14ac:dyDescent="0.3">
      <c r="A11" s="179">
        <v>1</v>
      </c>
      <c r="B11" s="1245" t="s">
        <v>695</v>
      </c>
      <c r="C11" s="851"/>
      <c r="D11" s="851"/>
      <c r="E11" s="851"/>
      <c r="F11" s="256" t="s">
        <v>178</v>
      </c>
      <c r="G11" s="1247">
        <f>I11*12</f>
        <v>0</v>
      </c>
      <c r="H11" s="1528"/>
      <c r="I11" s="1247">
        <f>I68</f>
        <v>0</v>
      </c>
      <c r="J11" s="1529"/>
    </row>
    <row r="12" spans="1:10" ht="38.4" customHeight="1" x14ac:dyDescent="0.3">
      <c r="A12" s="179">
        <v>2</v>
      </c>
      <c r="B12" s="1255" t="s">
        <v>301</v>
      </c>
      <c r="C12" s="1531"/>
      <c r="D12" s="1531"/>
      <c r="E12" s="1531"/>
      <c r="F12" s="256" t="s">
        <v>178</v>
      </c>
      <c r="G12" s="1247">
        <f>I12*12</f>
        <v>0</v>
      </c>
      <c r="H12" s="1528"/>
      <c r="I12" s="1247">
        <f>I11*розрахунок!D40/100</f>
        <v>0</v>
      </c>
      <c r="J12" s="1529"/>
    </row>
    <row r="13" spans="1:10" x14ac:dyDescent="0.3">
      <c r="A13" s="179">
        <v>3</v>
      </c>
      <c r="B13" s="1245" t="s">
        <v>500</v>
      </c>
      <c r="C13" s="1527"/>
      <c r="D13" s="1527"/>
      <c r="E13" s="1527"/>
      <c r="F13" s="256" t="s">
        <v>178</v>
      </c>
      <c r="G13" s="1247">
        <f>I13*12</f>
        <v>0</v>
      </c>
      <c r="H13" s="1528"/>
      <c r="I13" s="1247">
        <f>I75</f>
        <v>0</v>
      </c>
      <c r="J13" s="1529"/>
    </row>
    <row r="14" spans="1:10" x14ac:dyDescent="0.3">
      <c r="A14" s="179">
        <v>4</v>
      </c>
      <c r="B14" s="1245" t="s">
        <v>638</v>
      </c>
      <c r="C14" s="1527"/>
      <c r="D14" s="1527"/>
      <c r="E14" s="1527"/>
      <c r="F14" s="256" t="s">
        <v>178</v>
      </c>
      <c r="G14" s="1247">
        <f>I14*12</f>
        <v>0</v>
      </c>
      <c r="H14" s="1528"/>
      <c r="I14" s="1247">
        <f>інвентар!I9</f>
        <v>0</v>
      </c>
      <c r="J14" s="1529"/>
    </row>
    <row r="15" spans="1:10" x14ac:dyDescent="0.3">
      <c r="A15" s="179">
        <v>5</v>
      </c>
      <c r="B15" s="1245" t="s">
        <v>487</v>
      </c>
      <c r="C15" s="1527"/>
      <c r="D15" s="1527"/>
      <c r="E15" s="1527"/>
      <c r="F15" s="256" t="s">
        <v>178</v>
      </c>
      <c r="G15" s="1247">
        <f>I15*12</f>
        <v>0</v>
      </c>
      <c r="H15" s="1528"/>
      <c r="I15" s="1249">
        <v>0</v>
      </c>
      <c r="J15" s="1530"/>
    </row>
    <row r="16" spans="1:10" x14ac:dyDescent="0.3">
      <c r="A16" s="179">
        <v>6</v>
      </c>
      <c r="B16" s="1524" t="s">
        <v>665</v>
      </c>
      <c r="C16" s="1525"/>
      <c r="D16" s="1525"/>
      <c r="E16" s="1525"/>
      <c r="F16" s="179" t="s">
        <v>178</v>
      </c>
      <c r="G16" s="1251">
        <f>SUM(G11:G15)</f>
        <v>0</v>
      </c>
      <c r="H16" s="1252"/>
      <c r="I16" s="1235">
        <f>SUM(I11:I15)</f>
        <v>0</v>
      </c>
      <c r="J16" s="1526"/>
    </row>
    <row r="17" spans="1:10" ht="19.8" customHeight="1" x14ac:dyDescent="0.3">
      <c r="A17" s="179">
        <v>7</v>
      </c>
      <c r="B17" s="1521" t="s">
        <v>120</v>
      </c>
      <c r="C17" s="1522"/>
      <c r="D17" s="1522"/>
      <c r="E17" s="1523"/>
      <c r="F17" s="179" t="s">
        <v>220</v>
      </c>
      <c r="G17" s="1235">
        <f>[1]Расчет!D3</f>
        <v>2997.38</v>
      </c>
      <c r="H17" s="1514"/>
      <c r="I17" s="1515"/>
      <c r="J17" s="1516"/>
    </row>
    <row r="18" spans="1:10" x14ac:dyDescent="0.3">
      <c r="A18" s="533">
        <v>8</v>
      </c>
      <c r="B18" s="1238" t="s">
        <v>498</v>
      </c>
      <c r="C18" s="1239"/>
      <c r="D18" s="1239"/>
      <c r="E18" s="1239"/>
      <c r="F18" s="533" t="s">
        <v>178</v>
      </c>
      <c r="G18" s="1517">
        <f>I16/G17</f>
        <v>0</v>
      </c>
      <c r="H18" s="1518"/>
      <c r="I18" s="1519"/>
      <c r="J18" s="1520"/>
    </row>
    <row r="19" spans="1:10" x14ac:dyDescent="0.3">
      <c r="A19" s="534"/>
      <c r="B19" s="535"/>
      <c r="C19" s="139"/>
      <c r="D19" s="139"/>
      <c r="E19" s="139"/>
      <c r="F19" s="534"/>
      <c r="G19" s="536"/>
      <c r="H19" s="536"/>
      <c r="I19" s="537"/>
      <c r="J19" s="537"/>
    </row>
    <row r="20" spans="1:10" x14ac:dyDescent="0.3">
      <c r="A20" s="1511" t="s">
        <v>679</v>
      </c>
      <c r="B20" s="1512"/>
      <c r="C20" s="1512"/>
      <c r="D20" s="1512"/>
      <c r="E20" s="1512"/>
      <c r="F20" s="1512"/>
      <c r="G20" s="1512"/>
      <c r="H20" s="1512"/>
      <c r="I20" s="1512"/>
      <c r="J20" s="1512"/>
    </row>
    <row r="21" spans="1:10" ht="55.2" customHeight="1" x14ac:dyDescent="0.3">
      <c r="A21" s="1214" t="s">
        <v>680</v>
      </c>
      <c r="B21" s="1513"/>
      <c r="C21" s="1513"/>
      <c r="D21" s="1513"/>
      <c r="E21" s="1513"/>
      <c r="F21" s="1513"/>
      <c r="G21" s="1513"/>
      <c r="H21" s="1513"/>
      <c r="I21" s="1513"/>
      <c r="J21" s="1513"/>
    </row>
    <row r="22" spans="1:10" ht="33.6" customHeight="1" x14ac:dyDescent="0.3">
      <c r="A22" s="1214" t="s">
        <v>504</v>
      </c>
      <c r="B22" s="1215"/>
      <c r="C22" s="1215"/>
      <c r="D22" s="1215"/>
      <c r="E22" s="1215"/>
      <c r="F22" s="1215"/>
      <c r="G22" s="1215"/>
      <c r="H22" s="1215"/>
      <c r="I22" s="1215"/>
      <c r="J22" s="1215"/>
    </row>
    <row r="23" spans="1:10" x14ac:dyDescent="0.3">
      <c r="A23" s="1226" t="s">
        <v>744</v>
      </c>
      <c r="B23" s="1227"/>
      <c r="C23" s="1227"/>
      <c r="D23" s="1227"/>
      <c r="E23" s="1228" t="s">
        <v>223</v>
      </c>
      <c r="F23" s="1228"/>
      <c r="G23" s="184">
        <f>розрахунок!D44</f>
        <v>250</v>
      </c>
      <c r="H23" s="1228" t="s">
        <v>224</v>
      </c>
      <c r="I23" s="1228"/>
      <c r="J23" s="184">
        <f>розрахунок!D46</f>
        <v>1993</v>
      </c>
    </row>
    <row r="24" spans="1:10" x14ac:dyDescent="0.3">
      <c r="A24" s="407"/>
      <c r="B24" s="475"/>
      <c r="C24" s="475"/>
      <c r="D24" s="475"/>
      <c r="E24" s="475"/>
      <c r="F24" s="475"/>
      <c r="G24" s="475"/>
      <c r="H24" s="475"/>
      <c r="I24" s="475"/>
      <c r="J24" s="475"/>
    </row>
    <row r="25" spans="1:10" x14ac:dyDescent="0.3">
      <c r="A25" s="539" t="s">
        <v>225</v>
      </c>
      <c r="B25" s="1508" t="s">
        <v>226</v>
      </c>
      <c r="C25" s="1508"/>
      <c r="D25" s="1508"/>
      <c r="E25" s="1508"/>
      <c r="F25" s="1508"/>
      <c r="G25" s="187"/>
      <c r="H25" s="187"/>
      <c r="I25" s="187"/>
      <c r="J25" s="187"/>
    </row>
    <row r="26" spans="1:10" ht="91.8" x14ac:dyDescent="0.3">
      <c r="A26" s="188" t="s">
        <v>227</v>
      </c>
      <c r="B26" s="1230" t="s">
        <v>228</v>
      </c>
      <c r="C26" s="1231"/>
      <c r="D26" s="189" t="s">
        <v>681</v>
      </c>
      <c r="E26" s="190" t="s">
        <v>230</v>
      </c>
      <c r="F26" s="1232" t="s">
        <v>682</v>
      </c>
      <c r="G26" s="1231"/>
      <c r="H26" s="191" t="s">
        <v>683</v>
      </c>
      <c r="I26" s="192" t="s">
        <v>233</v>
      </c>
      <c r="J26" s="192" t="s">
        <v>234</v>
      </c>
    </row>
    <row r="27" spans="1:10" x14ac:dyDescent="0.3">
      <c r="A27" s="226">
        <v>1</v>
      </c>
      <c r="B27" s="1509">
        <v>2</v>
      </c>
      <c r="C27" s="1184"/>
      <c r="D27" s="228">
        <v>3</v>
      </c>
      <c r="E27" s="228">
        <v>4</v>
      </c>
      <c r="F27" s="1510">
        <v>5</v>
      </c>
      <c r="G27" s="764"/>
      <c r="H27" s="228">
        <v>6</v>
      </c>
      <c r="I27" s="228">
        <v>7</v>
      </c>
      <c r="J27" s="540">
        <v>8</v>
      </c>
    </row>
    <row r="28" spans="1:10" ht="36.6" customHeight="1" x14ac:dyDescent="0.3">
      <c r="A28" s="541">
        <v>1</v>
      </c>
      <c r="B28" s="1208" t="s">
        <v>401</v>
      </c>
      <c r="C28" s="1498"/>
      <c r="D28" s="542"/>
      <c r="E28" s="197">
        <f>G23</f>
        <v>250</v>
      </c>
      <c r="F28" s="1499">
        <f>IF([1]Таблица_Характеристика!$N$32&lt;=0.2,0.6,IF([1]Таблица_Характеристика!$N$32&lt;=0.5,0.75,IF([1]Таблица_Характеристика!$N$32&lt;=0.75,0.91,1.08)))</f>
        <v>0.6</v>
      </c>
      <c r="G28" s="1188"/>
      <c r="H28" s="196">
        <f>(D28/100)*F28*E28</f>
        <v>0</v>
      </c>
      <c r="I28" s="198">
        <v>58</v>
      </c>
      <c r="J28" s="543" t="str">
        <f>IF([1]Таблица_Характеристика!$N$32&lt;=0.2,"1-58-1",IF([1]Таблица_Характеристика!$N$32&lt;=0.5,"1-58-2",IF([1]Таблица_Характеристика!$N$32&lt;=0.75,"1-58-3","1-58-4")))</f>
        <v>1-58-1</v>
      </c>
    </row>
    <row r="29" spans="1:10" ht="49.2" customHeight="1" x14ac:dyDescent="0.3">
      <c r="A29" s="208" t="s">
        <v>99</v>
      </c>
      <c r="B29" s="1208" t="s">
        <v>684</v>
      </c>
      <c r="C29" s="1506"/>
      <c r="D29" s="542"/>
      <c r="E29" s="197">
        <v>156</v>
      </c>
      <c r="F29" s="1499">
        <f>IF([1]Таблица_Характеристика!$N$31&lt;=0.2,0.41,0.55)</f>
        <v>0.41</v>
      </c>
      <c r="G29" s="1507"/>
      <c r="H29" s="196">
        <f>(D29/100)*F29*E29</f>
        <v>0</v>
      </c>
      <c r="I29" s="198">
        <v>59</v>
      </c>
      <c r="J29" s="543" t="str">
        <f>IF([1]Таблица_Характеристика!$N$31&lt;=0.2,"1-59-1","1-59-2")</f>
        <v>1-59-1</v>
      </c>
    </row>
    <row r="30" spans="1:10" ht="15" customHeight="1" x14ac:dyDescent="0.3">
      <c r="A30" s="208" t="s">
        <v>237</v>
      </c>
      <c r="B30" s="1484" t="s">
        <v>405</v>
      </c>
      <c r="C30" s="1485"/>
      <c r="D30" s="1485"/>
      <c r="E30" s="1485"/>
      <c r="F30" s="1485"/>
      <c r="G30" s="1486"/>
      <c r="H30" s="1505"/>
      <c r="I30" s="1194"/>
      <c r="J30" s="543"/>
    </row>
    <row r="31" spans="1:10" ht="27.6" customHeight="1" x14ac:dyDescent="0.3">
      <c r="A31" s="541"/>
      <c r="B31" s="1208" t="s">
        <v>406</v>
      </c>
      <c r="C31" s="1498"/>
      <c r="D31" s="542"/>
      <c r="E31" s="197">
        <v>2</v>
      </c>
      <c r="F31" s="1499">
        <v>2.66</v>
      </c>
      <c r="G31" s="1397"/>
      <c r="H31" s="196">
        <f>D31/100*F31*E31</f>
        <v>0</v>
      </c>
      <c r="I31" s="198">
        <v>60</v>
      </c>
      <c r="J31" s="543" t="s">
        <v>407</v>
      </c>
    </row>
    <row r="32" spans="1:10" ht="26.4" customHeight="1" x14ac:dyDescent="0.3">
      <c r="A32" s="541"/>
      <c r="B32" s="1208" t="s">
        <v>408</v>
      </c>
      <c r="C32" s="1498"/>
      <c r="D32" s="542"/>
      <c r="E32" s="197">
        <v>2</v>
      </c>
      <c r="F32" s="1499">
        <v>3.21</v>
      </c>
      <c r="G32" s="1397"/>
      <c r="H32" s="196">
        <f t="shared" ref="H32:H37" si="0">D32/100*F32*E32</f>
        <v>0</v>
      </c>
      <c r="I32" s="198">
        <v>60</v>
      </c>
      <c r="J32" s="543" t="s">
        <v>409</v>
      </c>
    </row>
    <row r="33" spans="1:10" ht="31.8" customHeight="1" x14ac:dyDescent="0.3">
      <c r="A33" s="541"/>
      <c r="B33" s="1208" t="s">
        <v>410</v>
      </c>
      <c r="C33" s="1498"/>
      <c r="D33" s="542"/>
      <c r="E33" s="197">
        <v>2</v>
      </c>
      <c r="F33" s="1499">
        <v>3.32</v>
      </c>
      <c r="G33" s="1397"/>
      <c r="H33" s="196">
        <f t="shared" si="0"/>
        <v>0</v>
      </c>
      <c r="I33" s="198">
        <v>60</v>
      </c>
      <c r="J33" s="543" t="s">
        <v>411</v>
      </c>
    </row>
    <row r="34" spans="1:10" ht="15" customHeight="1" x14ac:dyDescent="0.3">
      <c r="A34" s="541"/>
      <c r="B34" s="1208" t="s">
        <v>412</v>
      </c>
      <c r="C34" s="1498"/>
      <c r="D34" s="542"/>
      <c r="E34" s="197">
        <v>2</v>
      </c>
      <c r="F34" s="1499">
        <v>4.42</v>
      </c>
      <c r="G34" s="1397"/>
      <c r="H34" s="196">
        <f t="shared" si="0"/>
        <v>0</v>
      </c>
      <c r="I34" s="198">
        <v>60</v>
      </c>
      <c r="J34" s="543" t="s">
        <v>413</v>
      </c>
    </row>
    <row r="35" spans="1:10" ht="29.4" customHeight="1" x14ac:dyDescent="0.3">
      <c r="A35" s="541"/>
      <c r="B35" s="1208" t="s">
        <v>414</v>
      </c>
      <c r="C35" s="1498"/>
      <c r="D35" s="542">
        <f>[1]Таблица_Характеристика!L37*[1]Таблица_Характеристика!H37</f>
        <v>0</v>
      </c>
      <c r="E35" s="197">
        <v>2</v>
      </c>
      <c r="F35" s="1499">
        <v>2.4300000000000002</v>
      </c>
      <c r="G35" s="1397"/>
      <c r="H35" s="196">
        <f t="shared" si="0"/>
        <v>0</v>
      </c>
      <c r="I35" s="198">
        <v>60</v>
      </c>
      <c r="J35" s="543" t="s">
        <v>415</v>
      </c>
    </row>
    <row r="36" spans="1:10" ht="35.4" customHeight="1" x14ac:dyDescent="0.3">
      <c r="A36" s="541"/>
      <c r="B36" s="1208" t="s">
        <v>416</v>
      </c>
      <c r="C36" s="1498"/>
      <c r="D36" s="542">
        <f>[1]Таблица_Характеристика!L38*[1]Таблица_Характеристика!H38</f>
        <v>0</v>
      </c>
      <c r="E36" s="197">
        <v>2</v>
      </c>
      <c r="F36" s="1499">
        <v>3.16</v>
      </c>
      <c r="G36" s="1397"/>
      <c r="H36" s="196">
        <f t="shared" si="0"/>
        <v>0</v>
      </c>
      <c r="I36" s="198">
        <v>60</v>
      </c>
      <c r="J36" s="543" t="s">
        <v>417</v>
      </c>
    </row>
    <row r="37" spans="1:10" ht="39" customHeight="1" x14ac:dyDescent="0.3">
      <c r="A37" s="541"/>
      <c r="B37" s="1208" t="s">
        <v>418</v>
      </c>
      <c r="C37" s="1498"/>
      <c r="D37" s="542">
        <f>[1]Таблица_Характеристика!L39*[1]Таблица_Характеристика!H39</f>
        <v>0</v>
      </c>
      <c r="E37" s="197">
        <v>2</v>
      </c>
      <c r="F37" s="1499">
        <v>3.67</v>
      </c>
      <c r="G37" s="1397"/>
      <c r="H37" s="196">
        <f t="shared" si="0"/>
        <v>0</v>
      </c>
      <c r="I37" s="198">
        <v>60</v>
      </c>
      <c r="J37" s="543" t="s">
        <v>419</v>
      </c>
    </row>
    <row r="38" spans="1:10" ht="33.6" customHeight="1" x14ac:dyDescent="0.3">
      <c r="A38" s="208" t="s">
        <v>241</v>
      </c>
      <c r="B38" s="1216" t="s">
        <v>420</v>
      </c>
      <c r="C38" s="1500"/>
      <c r="D38" s="542"/>
      <c r="E38" s="197"/>
      <c r="F38" s="1499"/>
      <c r="G38" s="1397"/>
      <c r="H38" s="1505"/>
      <c r="I38" s="1194"/>
      <c r="J38" s="543"/>
    </row>
    <row r="39" spans="1:10" ht="35.4" customHeight="1" x14ac:dyDescent="0.3">
      <c r="A39" s="541"/>
      <c r="B39" s="1208" t="s">
        <v>406</v>
      </c>
      <c r="C39" s="1498"/>
      <c r="D39" s="542"/>
      <c r="E39" s="197">
        <v>2</v>
      </c>
      <c r="F39" s="1499">
        <v>3.48</v>
      </c>
      <c r="G39" s="1397"/>
      <c r="H39" s="196">
        <f>D39/100*F39*E39</f>
        <v>0</v>
      </c>
      <c r="I39" s="198">
        <v>61</v>
      </c>
      <c r="J39" s="543" t="s">
        <v>421</v>
      </c>
    </row>
    <row r="40" spans="1:10" ht="36.6" customHeight="1" x14ac:dyDescent="0.3">
      <c r="A40" s="541"/>
      <c r="B40" s="1208" t="s">
        <v>408</v>
      </c>
      <c r="C40" s="1498"/>
      <c r="D40" s="542">
        <f>[1]Таблица_Характеристика!M34*[1]Таблица_Характеристика!H34</f>
        <v>0</v>
      </c>
      <c r="E40" s="197">
        <v>2</v>
      </c>
      <c r="F40" s="1499">
        <v>4.05</v>
      </c>
      <c r="G40" s="1397"/>
      <c r="H40" s="196">
        <f t="shared" ref="H40:H45" si="1">D40/100*F40*E40</f>
        <v>0</v>
      </c>
      <c r="I40" s="198">
        <v>61</v>
      </c>
      <c r="J40" s="543" t="s">
        <v>422</v>
      </c>
    </row>
    <row r="41" spans="1:10" ht="28.8" customHeight="1" x14ac:dyDescent="0.3">
      <c r="A41" s="541"/>
      <c r="B41" s="1208" t="s">
        <v>410</v>
      </c>
      <c r="C41" s="1498"/>
      <c r="D41" s="542">
        <f>[1]Таблица_Характеристика!M35*[1]Таблица_Характеристика!H35</f>
        <v>0</v>
      </c>
      <c r="E41" s="197">
        <v>2</v>
      </c>
      <c r="F41" s="1499">
        <v>4.93</v>
      </c>
      <c r="G41" s="1397"/>
      <c r="H41" s="196">
        <f t="shared" si="1"/>
        <v>0</v>
      </c>
      <c r="I41" s="198">
        <v>61</v>
      </c>
      <c r="J41" s="543" t="s">
        <v>423</v>
      </c>
    </row>
    <row r="42" spans="1:10" ht="26.4" customHeight="1" x14ac:dyDescent="0.3">
      <c r="A42" s="541"/>
      <c r="B42" s="1208" t="s">
        <v>412</v>
      </c>
      <c r="C42" s="1498"/>
      <c r="D42" s="542">
        <f>[1]Таблица_Характеристика!M36*[1]Таблица_Характеристика!H36</f>
        <v>0</v>
      </c>
      <c r="E42" s="197">
        <v>2</v>
      </c>
      <c r="F42" s="1499">
        <v>5.81</v>
      </c>
      <c r="G42" s="1397"/>
      <c r="H42" s="196">
        <f t="shared" si="1"/>
        <v>0</v>
      </c>
      <c r="I42" s="198">
        <v>61</v>
      </c>
      <c r="J42" s="543" t="s">
        <v>424</v>
      </c>
    </row>
    <row r="43" spans="1:10" ht="31.2" customHeight="1" x14ac:dyDescent="0.3">
      <c r="A43" s="541"/>
      <c r="B43" s="1208" t="s">
        <v>414</v>
      </c>
      <c r="C43" s="1498"/>
      <c r="D43" s="542">
        <f>[1]Таблица_Характеристика!M37*[1]Таблица_Характеристика!H37</f>
        <v>0</v>
      </c>
      <c r="E43" s="197">
        <v>2</v>
      </c>
      <c r="F43" s="1499">
        <v>3.29</v>
      </c>
      <c r="G43" s="1397"/>
      <c r="H43" s="196">
        <f t="shared" si="1"/>
        <v>0</v>
      </c>
      <c r="I43" s="198">
        <v>61</v>
      </c>
      <c r="J43" s="543" t="s">
        <v>425</v>
      </c>
    </row>
    <row r="44" spans="1:10" ht="26.4" customHeight="1" x14ac:dyDescent="0.3">
      <c r="A44" s="541"/>
      <c r="B44" s="1208" t="s">
        <v>416</v>
      </c>
      <c r="C44" s="1498"/>
      <c r="D44" s="542">
        <f>[1]Таблица_Характеристика!M38*[1]Таблица_Характеристика!H38</f>
        <v>0</v>
      </c>
      <c r="E44" s="197">
        <v>2</v>
      </c>
      <c r="F44" s="1499">
        <v>4.01</v>
      </c>
      <c r="G44" s="1397"/>
      <c r="H44" s="196">
        <f t="shared" si="1"/>
        <v>0</v>
      </c>
      <c r="I44" s="198">
        <v>61</v>
      </c>
      <c r="J44" s="543" t="s">
        <v>426</v>
      </c>
    </row>
    <row r="45" spans="1:10" ht="34.200000000000003" customHeight="1" x14ac:dyDescent="0.3">
      <c r="A45" s="541"/>
      <c r="B45" s="1208" t="s">
        <v>418</v>
      </c>
      <c r="C45" s="1498"/>
      <c r="D45" s="542">
        <f>[1]Таблица_Характеристика!M39*[1]Таблица_Характеристика!H39</f>
        <v>0</v>
      </c>
      <c r="E45" s="197">
        <v>2</v>
      </c>
      <c r="F45" s="1499">
        <v>4.7</v>
      </c>
      <c r="G45" s="1397"/>
      <c r="H45" s="196">
        <f t="shared" si="1"/>
        <v>0</v>
      </c>
      <c r="I45" s="198">
        <v>61</v>
      </c>
      <c r="J45" s="543" t="s">
        <v>427</v>
      </c>
    </row>
    <row r="46" spans="1:10" ht="43.8" customHeight="1" x14ac:dyDescent="0.3">
      <c r="A46" s="208" t="s">
        <v>242</v>
      </c>
      <c r="B46" s="1484" t="s">
        <v>428</v>
      </c>
      <c r="C46" s="1503"/>
      <c r="D46" s="544">
        <f>[1]Таблица_Характеристика!C41</f>
        <v>0</v>
      </c>
      <c r="E46" s="545">
        <v>24</v>
      </c>
      <c r="F46" s="1501">
        <v>0.92</v>
      </c>
      <c r="G46" s="1504"/>
      <c r="H46" s="200">
        <f>D46/100*F46*E46</f>
        <v>0</v>
      </c>
      <c r="I46" s="201">
        <v>62</v>
      </c>
      <c r="J46" s="546" t="s">
        <v>429</v>
      </c>
    </row>
    <row r="47" spans="1:10" x14ac:dyDescent="0.3">
      <c r="A47" s="208" t="s">
        <v>257</v>
      </c>
      <c r="B47" s="1216" t="s">
        <v>430</v>
      </c>
      <c r="C47" s="1500"/>
      <c r="D47" s="544"/>
      <c r="E47" s="545"/>
      <c r="F47" s="1501"/>
      <c r="G47" s="1502"/>
      <c r="H47" s="200"/>
      <c r="I47" s="201" t="s">
        <v>685</v>
      </c>
      <c r="J47" s="546"/>
    </row>
    <row r="48" spans="1:10" x14ac:dyDescent="0.3">
      <c r="A48" s="541" t="s">
        <v>237</v>
      </c>
      <c r="B48" s="1208" t="s">
        <v>431</v>
      </c>
      <c r="C48" s="1498"/>
      <c r="D48" s="542">
        <f>[1]Таблица_Характеристика!G41</f>
        <v>0</v>
      </c>
      <c r="E48" s="197">
        <v>12</v>
      </c>
      <c r="F48" s="1499">
        <v>1.47</v>
      </c>
      <c r="G48" s="1188"/>
      <c r="H48" s="196">
        <f t="shared" ref="H48:H55" si="2">D48/100*F48*E48</f>
        <v>0</v>
      </c>
      <c r="I48" s="198">
        <v>63</v>
      </c>
      <c r="J48" s="543" t="s">
        <v>432</v>
      </c>
    </row>
    <row r="49" spans="1:10" x14ac:dyDescent="0.3">
      <c r="A49" s="541"/>
      <c r="B49" s="1208" t="s">
        <v>433</v>
      </c>
      <c r="C49" s="1498"/>
      <c r="D49" s="542">
        <f>[1]Таблица_Характеристика!J41</f>
        <v>0</v>
      </c>
      <c r="E49" s="197">
        <v>12</v>
      </c>
      <c r="F49" s="1499">
        <v>2.25</v>
      </c>
      <c r="G49" s="1188"/>
      <c r="H49" s="196">
        <f t="shared" si="2"/>
        <v>0</v>
      </c>
      <c r="I49" s="198">
        <v>63</v>
      </c>
      <c r="J49" s="543" t="s">
        <v>434</v>
      </c>
    </row>
    <row r="50" spans="1:10" x14ac:dyDescent="0.3">
      <c r="A50" s="541"/>
      <c r="B50" s="1208" t="s">
        <v>435</v>
      </c>
      <c r="C50" s="1498"/>
      <c r="D50" s="542">
        <f>[1]Таблица_Характеристика!N41</f>
        <v>0</v>
      </c>
      <c r="E50" s="197">
        <v>12</v>
      </c>
      <c r="F50" s="1499">
        <v>2</v>
      </c>
      <c r="G50" s="1188"/>
      <c r="H50" s="196">
        <f t="shared" si="2"/>
        <v>0</v>
      </c>
      <c r="I50" s="198">
        <v>63</v>
      </c>
      <c r="J50" s="543" t="s">
        <v>436</v>
      </c>
    </row>
    <row r="51" spans="1:10" ht="26.4" customHeight="1" x14ac:dyDescent="0.3">
      <c r="A51" s="541"/>
      <c r="B51" s="1208" t="s">
        <v>437</v>
      </c>
      <c r="C51" s="1498"/>
      <c r="D51" s="542"/>
      <c r="E51" s="197">
        <v>12</v>
      </c>
      <c r="F51" s="1499">
        <v>2.0299999999999998</v>
      </c>
      <c r="G51" s="1397"/>
      <c r="H51" s="196">
        <f t="shared" si="2"/>
        <v>0</v>
      </c>
      <c r="I51" s="198">
        <v>64</v>
      </c>
      <c r="J51" s="543" t="s">
        <v>438</v>
      </c>
    </row>
    <row r="52" spans="1:10" ht="19.2" customHeight="1" x14ac:dyDescent="0.3">
      <c r="A52" s="541"/>
      <c r="B52" s="1208" t="s">
        <v>439</v>
      </c>
      <c r="C52" s="1498"/>
      <c r="D52" s="542"/>
      <c r="E52" s="197">
        <v>12</v>
      </c>
      <c r="F52" s="1499">
        <v>1.66</v>
      </c>
      <c r="G52" s="1397"/>
      <c r="H52" s="196">
        <f t="shared" si="2"/>
        <v>0</v>
      </c>
      <c r="I52" s="198">
        <v>64</v>
      </c>
      <c r="J52" s="543" t="s">
        <v>440</v>
      </c>
    </row>
    <row r="53" spans="1:10" ht="27.6" customHeight="1" x14ac:dyDescent="0.3">
      <c r="A53" s="541"/>
      <c r="B53" s="1208" t="s">
        <v>441</v>
      </c>
      <c r="C53" s="1498"/>
      <c r="D53" s="542">
        <f>[1]Таблица_Характеристика!N42</f>
        <v>0</v>
      </c>
      <c r="E53" s="197">
        <v>12</v>
      </c>
      <c r="F53" s="1499">
        <v>3.1</v>
      </c>
      <c r="G53" s="1188"/>
      <c r="H53" s="196">
        <f t="shared" si="2"/>
        <v>0</v>
      </c>
      <c r="I53" s="198">
        <v>64</v>
      </c>
      <c r="J53" s="543" t="s">
        <v>442</v>
      </c>
    </row>
    <row r="54" spans="1:10" ht="29.4" customHeight="1" x14ac:dyDescent="0.3">
      <c r="A54" s="547"/>
      <c r="B54" s="1204" t="s">
        <v>443</v>
      </c>
      <c r="C54" s="1495"/>
      <c r="D54" s="196">
        <f>[1]Таблица_Характеристика!C43</f>
        <v>0</v>
      </c>
      <c r="E54" s="197">
        <v>12</v>
      </c>
      <c r="F54" s="1199">
        <v>2.76</v>
      </c>
      <c r="G54" s="1397"/>
      <c r="H54" s="196">
        <f t="shared" si="2"/>
        <v>0</v>
      </c>
      <c r="I54" s="198">
        <v>65</v>
      </c>
      <c r="J54" s="548" t="s">
        <v>444</v>
      </c>
    </row>
    <row r="55" spans="1:10" ht="48.6" customHeight="1" x14ac:dyDescent="0.3">
      <c r="A55" s="547"/>
      <c r="B55" s="1204" t="s">
        <v>445</v>
      </c>
      <c r="C55" s="1498"/>
      <c r="D55" s="196">
        <f>[1]Таблица_Характеристика!L43</f>
        <v>0</v>
      </c>
      <c r="E55" s="197">
        <v>12</v>
      </c>
      <c r="F55" s="1199">
        <v>1.3</v>
      </c>
      <c r="G55" s="1397"/>
      <c r="H55" s="196">
        <f t="shared" si="2"/>
        <v>0</v>
      </c>
      <c r="I55" s="198">
        <v>65</v>
      </c>
      <c r="J55" s="548" t="s">
        <v>446</v>
      </c>
    </row>
    <row r="56" spans="1:10" ht="29.4" customHeight="1" x14ac:dyDescent="0.3">
      <c r="A56" s="547"/>
      <c r="B56" s="1204" t="s">
        <v>447</v>
      </c>
      <c r="C56" s="1495"/>
      <c r="D56" s="231">
        <f>[1]Таблица_Характеристика!N43</f>
        <v>0</v>
      </c>
      <c r="E56" s="197">
        <v>12</v>
      </c>
      <c r="F56" s="1199">
        <v>7.0000000000000007E-2</v>
      </c>
      <c r="G56" s="1397"/>
      <c r="H56" s="196">
        <f>D56/10*F56*E56</f>
        <v>0</v>
      </c>
      <c r="I56" s="198">
        <v>66</v>
      </c>
      <c r="J56" s="548" t="s">
        <v>448</v>
      </c>
    </row>
    <row r="57" spans="1:10" ht="42.6" customHeight="1" x14ac:dyDescent="0.3">
      <c r="A57" s="549" t="s">
        <v>237</v>
      </c>
      <c r="B57" s="1496" t="s">
        <v>449</v>
      </c>
      <c r="C57" s="1497"/>
      <c r="D57" s="196">
        <v>0</v>
      </c>
      <c r="E57" s="197">
        <f>G23</f>
        <v>250</v>
      </c>
      <c r="F57" s="1199">
        <f>IF([1]Расчет!D29=0,0.74,IF([1]Расчет!D29=1,1.11,IF([1]Расчет!D29=2,1.06,1.25)))</f>
        <v>1.25</v>
      </c>
      <c r="G57" s="1200"/>
      <c r="H57" s="196">
        <f t="shared" ref="H57:H61" si="3">(D57/100)*F57*E57</f>
        <v>0</v>
      </c>
      <c r="I57" s="198">
        <v>67</v>
      </c>
      <c r="J57" s="548" t="str">
        <f>CONCATENATE("1-67-",[1]Расчет!D29+1)</f>
        <v>1-67-219,83</v>
      </c>
    </row>
    <row r="58" spans="1:10" ht="40.200000000000003" customHeight="1" x14ac:dyDescent="0.3">
      <c r="A58" s="549" t="s">
        <v>241</v>
      </c>
      <c r="B58" s="1496" t="s">
        <v>450</v>
      </c>
      <c r="C58" s="1497"/>
      <c r="D58" s="196"/>
      <c r="E58" s="197">
        <v>156</v>
      </c>
      <c r="F58" s="1199">
        <f>IF([1]Расчет!D29=0,0.55,IF([1]Расчет!D29=1,0.93,IF([1]Расчет!D29=2,0.79,0.93)))</f>
        <v>0.93</v>
      </c>
      <c r="G58" s="1200"/>
      <c r="H58" s="196">
        <f t="shared" si="3"/>
        <v>0</v>
      </c>
      <c r="I58" s="198">
        <v>68</v>
      </c>
      <c r="J58" s="548" t="str">
        <f>CONCATENATE("1-68-",[1]Расчет!D29+1)</f>
        <v>1-68-219,83</v>
      </c>
    </row>
    <row r="59" spans="1:10" ht="48" customHeight="1" x14ac:dyDescent="0.3">
      <c r="A59" s="549" t="s">
        <v>241</v>
      </c>
      <c r="B59" s="1208" t="s">
        <v>451</v>
      </c>
      <c r="C59" s="1494"/>
      <c r="D59" s="196">
        <f>[1]Таблица_Характеристика!N59</f>
        <v>0</v>
      </c>
      <c r="E59" s="197">
        <f>G23</f>
        <v>250</v>
      </c>
      <c r="F59" s="1199">
        <f>IF([1]Расчет!D29=1,1.66,(IF([1]Расчет!D29=3,1.7,0)))</f>
        <v>0</v>
      </c>
      <c r="G59" s="1200"/>
      <c r="H59" s="196">
        <f t="shared" si="3"/>
        <v>0</v>
      </c>
      <c r="I59" s="198">
        <v>69</v>
      </c>
      <c r="J59" s="548" t="str">
        <f>IF([1]Таблица_Характеристика!G59=0,"",CONCATENATE("1-69-",[1]Расчет!D29-1))</f>
        <v/>
      </c>
    </row>
    <row r="60" spans="1:10" ht="41.4" customHeight="1" x14ac:dyDescent="0.3">
      <c r="A60" s="550" t="s">
        <v>242</v>
      </c>
      <c r="B60" s="1204" t="s">
        <v>452</v>
      </c>
      <c r="C60" s="1494"/>
      <c r="D60" s="196">
        <v>0</v>
      </c>
      <c r="E60" s="197">
        <v>24</v>
      </c>
      <c r="F60" s="1199">
        <f>IF([1]Расчет!D29=0,2.21,IF([1]Расчет!D29=1,2.6,IF([1]Расчет!D29=2,2.35,2.65)))</f>
        <v>2.65</v>
      </c>
      <c r="G60" s="1200"/>
      <c r="H60" s="196">
        <f t="shared" si="3"/>
        <v>0</v>
      </c>
      <c r="I60" s="198">
        <v>71</v>
      </c>
      <c r="J60" s="548" t="str">
        <f>CONCATENATE("1-71-",[1]Расчет!D29+1)</f>
        <v>1-71-219,83</v>
      </c>
    </row>
    <row r="61" spans="1:10" ht="39" customHeight="1" x14ac:dyDescent="0.3">
      <c r="A61" s="550" t="s">
        <v>257</v>
      </c>
      <c r="B61" s="1204" t="s">
        <v>453</v>
      </c>
      <c r="C61" s="1494"/>
      <c r="D61" s="196">
        <v>0</v>
      </c>
      <c r="E61" s="197">
        <v>24</v>
      </c>
      <c r="F61" s="1199">
        <f>IF([1]Расчет!D29=0,2.1,IF([1]Расчет!D29=1,2.5,IF([1]Расчет!D29=2,2.25,2.55)))</f>
        <v>2.5499999999999998</v>
      </c>
      <c r="G61" s="1200"/>
      <c r="H61" s="196">
        <f t="shared" si="3"/>
        <v>0</v>
      </c>
      <c r="I61" s="198">
        <v>72</v>
      </c>
      <c r="J61" s="548" t="str">
        <f>CONCATENATE("1-72-",[1]Расчет!D29+1)</f>
        <v>1-72-219,83</v>
      </c>
    </row>
    <row r="62" spans="1:10" x14ac:dyDescent="0.3">
      <c r="A62" s="214"/>
      <c r="B62" s="1189" t="s">
        <v>263</v>
      </c>
      <c r="C62" s="1493"/>
      <c r="D62" s="551"/>
      <c r="E62" s="216"/>
      <c r="F62" s="770"/>
      <c r="G62" s="770"/>
      <c r="H62" s="217">
        <f>SUM(H28:H61)</f>
        <v>0</v>
      </c>
      <c r="I62" s="218"/>
      <c r="J62" s="219"/>
    </row>
    <row r="63" spans="1:10" x14ac:dyDescent="0.3">
      <c r="A63" s="1487" t="s">
        <v>465</v>
      </c>
      <c r="B63" s="1487"/>
      <c r="C63" s="1487"/>
      <c r="D63" s="1487"/>
      <c r="E63" s="1487"/>
      <c r="F63" s="1487"/>
      <c r="G63" s="1487"/>
      <c r="H63" s="1487"/>
      <c r="I63" s="1487"/>
      <c r="J63" s="1487"/>
    </row>
    <row r="64" spans="1:10" x14ac:dyDescent="0.3">
      <c r="A64" s="552"/>
      <c r="B64" s="552"/>
      <c r="C64" s="553"/>
      <c r="D64" s="553"/>
      <c r="E64" s="554"/>
      <c r="F64" s="554"/>
      <c r="G64" s="553"/>
      <c r="H64" s="554"/>
      <c r="I64" s="554"/>
      <c r="J64" s="554"/>
    </row>
    <row r="65" spans="1:10" x14ac:dyDescent="0.3">
      <c r="A65" s="1488" t="s">
        <v>686</v>
      </c>
      <c r="B65" s="1489"/>
      <c r="C65" s="1489"/>
      <c r="D65" s="1489"/>
      <c r="E65" s="1489"/>
      <c r="F65" s="1489"/>
      <c r="G65" s="1489"/>
      <c r="H65" s="1489"/>
      <c r="I65" s="1489"/>
      <c r="J65" s="1489"/>
    </row>
    <row r="66" spans="1:10" ht="84" x14ac:dyDescent="0.3">
      <c r="A66" s="1490" t="s">
        <v>187</v>
      </c>
      <c r="B66" s="1184"/>
      <c r="C66" s="224" t="s">
        <v>266</v>
      </c>
      <c r="D66" s="225" t="s">
        <v>267</v>
      </c>
      <c r="E66" s="226" t="s">
        <v>268</v>
      </c>
      <c r="F66" s="227" t="s">
        <v>687</v>
      </c>
      <c r="G66" s="227" t="s">
        <v>688</v>
      </c>
      <c r="H66" s="226" t="s">
        <v>271</v>
      </c>
      <c r="I66" s="1183" t="s">
        <v>689</v>
      </c>
      <c r="J66" s="1203"/>
    </row>
    <row r="67" spans="1:10" x14ac:dyDescent="0.3">
      <c r="A67" s="1491">
        <v>1</v>
      </c>
      <c r="B67" s="1220"/>
      <c r="C67" s="477">
        <v>2</v>
      </c>
      <c r="D67" s="194">
        <v>3</v>
      </c>
      <c r="E67" s="194">
        <v>4</v>
      </c>
      <c r="F67" s="194">
        <v>5</v>
      </c>
      <c r="G67" s="555"/>
      <c r="H67" s="194">
        <v>6</v>
      </c>
      <c r="I67" s="1492">
        <v>7</v>
      </c>
      <c r="J67" s="799"/>
    </row>
    <row r="68" spans="1:10" x14ac:dyDescent="0.3">
      <c r="A68" s="1266" t="s">
        <v>194</v>
      </c>
      <c r="B68" s="779"/>
      <c r="C68" s="230">
        <f>H62</f>
        <v>0</v>
      </c>
      <c r="D68" s="196">
        <f>J23</f>
        <v>1993</v>
      </c>
      <c r="E68" s="196">
        <f>ROUND(C68/D68,2)</f>
        <v>0</v>
      </c>
      <c r="F68" s="196">
        <f>оклади!K7</f>
        <v>4173</v>
      </c>
      <c r="G68" s="203">
        <f>E68*F68</f>
        <v>0</v>
      </c>
      <c r="H68" s="196">
        <v>0</v>
      </c>
      <c r="I68" s="1187">
        <f>G68*1.09+H68</f>
        <v>0</v>
      </c>
      <c r="J68" s="1397"/>
    </row>
    <row r="69" spans="1:10" x14ac:dyDescent="0.3">
      <c r="A69" s="556"/>
      <c r="B69" s="557"/>
      <c r="C69" s="558"/>
      <c r="D69" s="559"/>
      <c r="E69" s="559"/>
      <c r="F69" s="559"/>
      <c r="G69" s="560"/>
      <c r="H69" s="559"/>
      <c r="I69" s="559"/>
      <c r="J69" s="559"/>
    </row>
    <row r="70" spans="1:10" x14ac:dyDescent="0.3">
      <c r="A70" s="1180" t="s">
        <v>621</v>
      </c>
      <c r="B70" s="1180"/>
      <c r="C70" s="1180"/>
      <c r="D70" s="1180"/>
      <c r="E70" s="1180"/>
      <c r="F70" s="1180"/>
      <c r="G70" s="1180"/>
      <c r="H70" s="1180"/>
      <c r="I70" s="1180"/>
      <c r="J70" s="1180"/>
    </row>
    <row r="71" spans="1:10" ht="83.4" x14ac:dyDescent="0.3">
      <c r="A71" s="1171" t="s">
        <v>274</v>
      </c>
      <c r="B71" s="1181"/>
      <c r="C71" s="226" t="s">
        <v>275</v>
      </c>
      <c r="D71" s="226" t="s">
        <v>276</v>
      </c>
      <c r="E71" s="1171" t="s">
        <v>690</v>
      </c>
      <c r="F71" s="1182"/>
      <c r="G71" s="1171" t="s">
        <v>691</v>
      </c>
      <c r="H71" s="779"/>
      <c r="I71" s="1171" t="s">
        <v>692</v>
      </c>
      <c r="J71" s="779"/>
    </row>
    <row r="72" spans="1:10" x14ac:dyDescent="0.3">
      <c r="A72" s="1171">
        <v>1</v>
      </c>
      <c r="B72" s="1181"/>
      <c r="C72" s="226">
        <v>2</v>
      </c>
      <c r="D72" s="226">
        <v>3</v>
      </c>
      <c r="E72" s="1171">
        <v>4</v>
      </c>
      <c r="F72" s="1182"/>
      <c r="G72" s="1171">
        <v>5</v>
      </c>
      <c r="H72" s="779"/>
      <c r="I72" s="1171">
        <v>6</v>
      </c>
      <c r="J72" s="779"/>
    </row>
    <row r="73" spans="1:10" ht="25.2" customHeight="1" x14ac:dyDescent="0.3">
      <c r="A73" s="1266" t="s">
        <v>280</v>
      </c>
      <c r="B73" s="1266"/>
      <c r="C73" s="399">
        <f>прибирання!C49</f>
        <v>1782768</v>
      </c>
      <c r="D73" s="238">
        <f>прибирання!D49</f>
        <v>4193729</v>
      </c>
      <c r="E73" s="1172">
        <f>C73/D73*100</f>
        <v>42.51032911282536</v>
      </c>
      <c r="F73" s="771"/>
      <c r="G73" s="1173">
        <f>I68</f>
        <v>0</v>
      </c>
      <c r="H73" s="779"/>
      <c r="I73" s="1173">
        <f>E73*G73/100</f>
        <v>0</v>
      </c>
      <c r="J73" s="779"/>
    </row>
    <row r="74" spans="1:10" ht="26.4" customHeight="1" x14ac:dyDescent="0.3">
      <c r="A74" s="1266" t="s">
        <v>281</v>
      </c>
      <c r="B74" s="1266"/>
      <c r="C74" s="399">
        <f>прибирання!C50</f>
        <v>2914645</v>
      </c>
      <c r="D74" s="238">
        <f>прибирання!D50</f>
        <v>14598843</v>
      </c>
      <c r="E74" s="1172">
        <f>C74/D74*100</f>
        <v>19.964904068082657</v>
      </c>
      <c r="F74" s="771"/>
      <c r="G74" s="1173">
        <f>I11+I12+I14+I15+I73</f>
        <v>0</v>
      </c>
      <c r="H74" s="779"/>
      <c r="I74" s="1173">
        <f>E74*G74/100</f>
        <v>0</v>
      </c>
      <c r="J74" s="779"/>
    </row>
    <row r="75" spans="1:10" ht="35.4" customHeight="1" x14ac:dyDescent="0.3">
      <c r="A75" s="1268" t="s">
        <v>282</v>
      </c>
      <c r="B75" s="1268"/>
      <c r="C75" s="400"/>
      <c r="D75" s="401"/>
      <c r="E75" s="1175"/>
      <c r="F75" s="771"/>
      <c r="G75" s="1176"/>
      <c r="H75" s="779"/>
      <c r="I75" s="1176">
        <f>SUM(I73:I74)</f>
        <v>0</v>
      </c>
      <c r="J75" s="779"/>
    </row>
    <row r="76" spans="1:10" x14ac:dyDescent="0.3">
      <c r="A76" s="139"/>
      <c r="B76" s="139"/>
      <c r="C76" s="139"/>
      <c r="D76" s="139"/>
      <c r="E76" s="139"/>
      <c r="F76" s="139"/>
      <c r="G76" s="139"/>
      <c r="H76" s="139"/>
      <c r="I76" s="139"/>
      <c r="J76" s="139"/>
    </row>
    <row r="77" spans="1:10" x14ac:dyDescent="0.3">
      <c r="A77" s="1170">
        <f>[1]прибир.прибуд!A81</f>
        <v>0</v>
      </c>
      <c r="B77" s="1170"/>
      <c r="C77" s="1170"/>
      <c r="D77" s="1170"/>
      <c r="E77" s="1170"/>
      <c r="F77" s="1170"/>
      <c r="G77" s="1170"/>
      <c r="H77" s="1170"/>
      <c r="I77" s="1170"/>
      <c r="J77" s="1170"/>
    </row>
  </sheetData>
  <mergeCells count="143"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  <mergeCell ref="B16:E16"/>
    <mergeCell ref="G16:H16"/>
    <mergeCell ref="I16:J16"/>
    <mergeCell ref="B14:E14"/>
    <mergeCell ref="G14:H14"/>
    <mergeCell ref="I14:J14"/>
    <mergeCell ref="B15:E15"/>
    <mergeCell ref="G15:H15"/>
    <mergeCell ref="I15:J15"/>
    <mergeCell ref="A20:J20"/>
    <mergeCell ref="A21:J21"/>
    <mergeCell ref="A22:J22"/>
    <mergeCell ref="A23:D23"/>
    <mergeCell ref="E23:F23"/>
    <mergeCell ref="H23:I23"/>
    <mergeCell ref="G17:J17"/>
    <mergeCell ref="B18:E18"/>
    <mergeCell ref="G18:J18"/>
    <mergeCell ref="B17:E17"/>
    <mergeCell ref="B29:C29"/>
    <mergeCell ref="F29:G29"/>
    <mergeCell ref="H30:I30"/>
    <mergeCell ref="B31:C31"/>
    <mergeCell ref="F31:G31"/>
    <mergeCell ref="B25:F25"/>
    <mergeCell ref="B26:C26"/>
    <mergeCell ref="F26:G26"/>
    <mergeCell ref="B27:C27"/>
    <mergeCell ref="F27:G27"/>
    <mergeCell ref="B28:C28"/>
    <mergeCell ref="F28:G28"/>
    <mergeCell ref="B35:C35"/>
    <mergeCell ref="F35:G35"/>
    <mergeCell ref="B36:C36"/>
    <mergeCell ref="F36:G36"/>
    <mergeCell ref="B37:C37"/>
    <mergeCell ref="F37:G37"/>
    <mergeCell ref="B32:C32"/>
    <mergeCell ref="F32:G32"/>
    <mergeCell ref="B33:C33"/>
    <mergeCell ref="F33:G33"/>
    <mergeCell ref="B34:C34"/>
    <mergeCell ref="F34:G34"/>
    <mergeCell ref="B41:C41"/>
    <mergeCell ref="F41:G41"/>
    <mergeCell ref="B42:C42"/>
    <mergeCell ref="F42:G42"/>
    <mergeCell ref="B43:C43"/>
    <mergeCell ref="F43:G43"/>
    <mergeCell ref="B38:C38"/>
    <mergeCell ref="F38:G38"/>
    <mergeCell ref="H38:I38"/>
    <mergeCell ref="B39:C39"/>
    <mergeCell ref="F39:G39"/>
    <mergeCell ref="B40:C40"/>
    <mergeCell ref="F40:G40"/>
    <mergeCell ref="B47:C47"/>
    <mergeCell ref="F47:G47"/>
    <mergeCell ref="B48:C48"/>
    <mergeCell ref="F48:G48"/>
    <mergeCell ref="B49:C49"/>
    <mergeCell ref="F49:G49"/>
    <mergeCell ref="B44:C44"/>
    <mergeCell ref="F44:G44"/>
    <mergeCell ref="B45:C45"/>
    <mergeCell ref="F45:G45"/>
    <mergeCell ref="B46:C46"/>
    <mergeCell ref="F46:G46"/>
    <mergeCell ref="B53:C53"/>
    <mergeCell ref="F53:G53"/>
    <mergeCell ref="B54:C54"/>
    <mergeCell ref="F54:G54"/>
    <mergeCell ref="B55:C55"/>
    <mergeCell ref="F55:G55"/>
    <mergeCell ref="B50:C50"/>
    <mergeCell ref="F50:G50"/>
    <mergeCell ref="B51:C51"/>
    <mergeCell ref="F51:G51"/>
    <mergeCell ref="B52:C52"/>
    <mergeCell ref="F52:G52"/>
    <mergeCell ref="B62:C62"/>
    <mergeCell ref="F62:G62"/>
    <mergeCell ref="B59:C59"/>
    <mergeCell ref="F59:G59"/>
    <mergeCell ref="B60:C60"/>
    <mergeCell ref="F60:G60"/>
    <mergeCell ref="B61:C61"/>
    <mergeCell ref="F61:G61"/>
    <mergeCell ref="B56:C56"/>
    <mergeCell ref="F56:G56"/>
    <mergeCell ref="B57:C57"/>
    <mergeCell ref="F57:G57"/>
    <mergeCell ref="B58:C58"/>
    <mergeCell ref="F58:G58"/>
    <mergeCell ref="A68:B68"/>
    <mergeCell ref="I68:J68"/>
    <mergeCell ref="A70:J70"/>
    <mergeCell ref="A71:B71"/>
    <mergeCell ref="E71:F71"/>
    <mergeCell ref="G71:H71"/>
    <mergeCell ref="I71:J71"/>
    <mergeCell ref="A63:J63"/>
    <mergeCell ref="A65:J65"/>
    <mergeCell ref="A66:B66"/>
    <mergeCell ref="I66:J66"/>
    <mergeCell ref="A67:B67"/>
    <mergeCell ref="I67:J67"/>
    <mergeCell ref="A77:J77"/>
    <mergeCell ref="A6:J6"/>
    <mergeCell ref="G1:J1"/>
    <mergeCell ref="G2:J2"/>
    <mergeCell ref="G3:J3"/>
    <mergeCell ref="I4:J4"/>
    <mergeCell ref="A7:J7"/>
    <mergeCell ref="B30:G30"/>
    <mergeCell ref="A74:B74"/>
    <mergeCell ref="E74:F74"/>
    <mergeCell ref="G74:H74"/>
    <mergeCell ref="I74:J74"/>
    <mergeCell ref="A75:B75"/>
    <mergeCell ref="E75:F75"/>
    <mergeCell ref="G75:H75"/>
    <mergeCell ref="I75:J75"/>
    <mergeCell ref="A72:B72"/>
    <mergeCell ref="E72:F72"/>
    <mergeCell ref="G72:H72"/>
    <mergeCell ref="I72:J72"/>
    <mergeCell ref="A73:B73"/>
    <mergeCell ref="E73:F73"/>
    <mergeCell ref="G73:H73"/>
    <mergeCell ref="I73:J7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4B4F6-DCD8-408D-A9C5-E0C3A50CE17E}">
  <dimension ref="A1:J69"/>
  <sheetViews>
    <sheetView topLeftCell="A13" zoomScaleNormal="100" workbookViewId="0">
      <selection activeCell="D51" sqref="D51"/>
    </sheetView>
  </sheetViews>
  <sheetFormatPr defaultRowHeight="14.4" x14ac:dyDescent="0.3"/>
  <cols>
    <col min="3" max="3" width="9.6640625" customWidth="1"/>
  </cols>
  <sheetData>
    <row r="1" spans="1:10" x14ac:dyDescent="0.3">
      <c r="A1" s="12" t="str">
        <f>сход.клітки!A1</f>
        <v>м. КанівДніпробудівська7</v>
      </c>
      <c r="G1" s="1261" t="s">
        <v>211</v>
      </c>
      <c r="H1" s="1261"/>
      <c r="I1" s="1261"/>
      <c r="J1" s="1261"/>
    </row>
    <row r="2" spans="1:10" x14ac:dyDescent="0.3">
      <c r="G2" s="1261" t="s">
        <v>105</v>
      </c>
      <c r="H2" s="1261"/>
      <c r="I2" s="1261"/>
      <c r="J2" s="1261"/>
    </row>
    <row r="3" spans="1:10" x14ac:dyDescent="0.3">
      <c r="G3" s="1265" t="s">
        <v>634</v>
      </c>
      <c r="H3" s="1265"/>
      <c r="I3" s="1265"/>
      <c r="J3" s="1265"/>
    </row>
    <row r="4" spans="1:10" x14ac:dyDescent="0.3">
      <c r="G4" s="247"/>
      <c r="H4" s="248"/>
      <c r="I4" s="1262" t="s">
        <v>293</v>
      </c>
      <c r="J4" s="1262"/>
    </row>
    <row r="6" spans="1:10" x14ac:dyDescent="0.3">
      <c r="A6" s="1263" t="s">
        <v>297</v>
      </c>
      <c r="B6" s="1263"/>
      <c r="C6" s="1263"/>
      <c r="D6" s="1263"/>
      <c r="E6" s="1263"/>
      <c r="F6" s="1263"/>
      <c r="G6" s="1263"/>
      <c r="H6" s="1263"/>
      <c r="I6" s="1263"/>
      <c r="J6" s="1263"/>
    </row>
    <row r="7" spans="1:10" ht="33.6" customHeight="1" x14ac:dyDescent="0.3">
      <c r="A7" s="1481" t="s">
        <v>949</v>
      </c>
      <c r="B7" s="1481"/>
      <c r="C7" s="1481"/>
      <c r="D7" s="1481"/>
      <c r="E7" s="1481"/>
      <c r="F7" s="1481"/>
      <c r="G7" s="1481"/>
      <c r="H7" s="1481"/>
      <c r="I7" s="1481"/>
      <c r="J7" s="1481"/>
    </row>
    <row r="9" spans="1:10" x14ac:dyDescent="0.3">
      <c r="A9" s="239" t="s">
        <v>742</v>
      </c>
    </row>
    <row r="10" spans="1:10" ht="26.4" x14ac:dyDescent="0.3">
      <c r="A10" s="179" t="s">
        <v>213</v>
      </c>
      <c r="B10" s="1257" t="s">
        <v>214</v>
      </c>
      <c r="C10" s="1239"/>
      <c r="D10" s="1239"/>
      <c r="E10" s="1239"/>
      <c r="F10" s="179" t="s">
        <v>215</v>
      </c>
      <c r="G10" s="1257" t="s">
        <v>216</v>
      </c>
      <c r="H10" s="1239"/>
      <c r="I10" s="1257" t="s">
        <v>217</v>
      </c>
      <c r="J10" s="1258"/>
    </row>
    <row r="11" spans="1:10" ht="24" customHeight="1" x14ac:dyDescent="0.3">
      <c r="A11" s="179">
        <v>1</v>
      </c>
      <c r="B11" s="1245" t="s">
        <v>743</v>
      </c>
      <c r="C11" s="1156"/>
      <c r="D11" s="1156"/>
      <c r="E11" s="1156"/>
      <c r="F11" s="256" t="s">
        <v>178</v>
      </c>
      <c r="G11" s="1247">
        <f>I11*12</f>
        <v>2729.1420000000003</v>
      </c>
      <c r="H11" s="1248"/>
      <c r="I11" s="1247">
        <f>I57</f>
        <v>227.42850000000001</v>
      </c>
      <c r="J11" s="1254"/>
    </row>
    <row r="12" spans="1:10" ht="48.6" customHeight="1" x14ac:dyDescent="0.3">
      <c r="A12" s="179">
        <v>2</v>
      </c>
      <c r="B12" s="1255" t="s">
        <v>637</v>
      </c>
      <c r="C12" s="1256"/>
      <c r="D12" s="1256"/>
      <c r="E12" s="1256"/>
      <c r="F12" s="256" t="s">
        <v>178</v>
      </c>
      <c r="G12" s="1247">
        <f>I12*12</f>
        <v>600.41124000000013</v>
      </c>
      <c r="H12" s="1248"/>
      <c r="I12" s="1247">
        <f>I11*розрахунок!D40/100</f>
        <v>50.034270000000006</v>
      </c>
      <c r="J12" s="1254"/>
    </row>
    <row r="13" spans="1:10" x14ac:dyDescent="0.3">
      <c r="A13" s="179">
        <v>3</v>
      </c>
      <c r="B13" s="1245" t="s">
        <v>500</v>
      </c>
      <c r="C13" s="1246"/>
      <c r="D13" s="1246"/>
      <c r="E13" s="1246"/>
      <c r="F13" s="256" t="s">
        <v>178</v>
      </c>
      <c r="G13" s="1247">
        <f>I13*12</f>
        <v>2147.3261052692828</v>
      </c>
      <c r="H13" s="1248"/>
      <c r="I13" s="1247">
        <f>I64</f>
        <v>178.94384210577357</v>
      </c>
      <c r="J13" s="1254"/>
    </row>
    <row r="14" spans="1:10" x14ac:dyDescent="0.3">
      <c r="A14" s="179">
        <v>4</v>
      </c>
      <c r="B14" s="1245" t="s">
        <v>638</v>
      </c>
      <c r="C14" s="1246"/>
      <c r="D14" s="1246"/>
      <c r="E14" s="1246"/>
      <c r="F14" s="256" t="s">
        <v>178</v>
      </c>
      <c r="G14" s="1247">
        <f>G15+G16</f>
        <v>180.36715000000001</v>
      </c>
      <c r="H14" s="1248"/>
      <c r="I14" s="1247">
        <f>I15+I16</f>
        <v>15.030595833333333</v>
      </c>
      <c r="J14" s="1254"/>
    </row>
    <row r="15" spans="1:10" x14ac:dyDescent="0.3">
      <c r="A15" s="565" t="s">
        <v>696</v>
      </c>
      <c r="B15" s="1278" t="s">
        <v>697</v>
      </c>
      <c r="C15" s="1331"/>
      <c r="D15" s="1331"/>
      <c r="E15" s="1332"/>
      <c r="F15" s="256" t="s">
        <v>178</v>
      </c>
      <c r="G15" s="1247">
        <f>I15*12</f>
        <v>118.38775000000001</v>
      </c>
      <c r="H15" s="1248"/>
      <c r="I15" s="1249">
        <f>інвентар!I8</f>
        <v>9.8656458333333337</v>
      </c>
      <c r="J15" s="1333"/>
    </row>
    <row r="16" spans="1:10" x14ac:dyDescent="0.3">
      <c r="A16" s="565" t="s">
        <v>698</v>
      </c>
      <c r="B16" s="1278" t="s">
        <v>699</v>
      </c>
      <c r="C16" s="1331"/>
      <c r="D16" s="1331"/>
      <c r="E16" s="1332"/>
      <c r="F16" s="256" t="s">
        <v>178</v>
      </c>
      <c r="G16" s="1249">
        <f>I16*12</f>
        <v>61.979399999999998</v>
      </c>
      <c r="H16" s="1333"/>
      <c r="I16" s="1249">
        <f>J69/12</f>
        <v>5.1649500000000002</v>
      </c>
      <c r="J16" s="1333"/>
    </row>
    <row r="17" spans="1:10" x14ac:dyDescent="0.3">
      <c r="A17" s="179">
        <v>5</v>
      </c>
      <c r="B17" s="1245" t="s">
        <v>487</v>
      </c>
      <c r="C17" s="1246"/>
      <c r="D17" s="1246"/>
      <c r="E17" s="1246"/>
      <c r="F17" s="256" t="s">
        <v>178</v>
      </c>
      <c r="G17" s="1247">
        <f>I17*12</f>
        <v>0</v>
      </c>
      <c r="H17" s="1248"/>
      <c r="I17" s="1249">
        <v>0</v>
      </c>
      <c r="J17" s="1225"/>
    </row>
    <row r="18" spans="1:10" ht="44.4" customHeight="1" x14ac:dyDescent="0.3">
      <c r="A18" s="179">
        <v>6</v>
      </c>
      <c r="B18" s="1524" t="s">
        <v>745</v>
      </c>
      <c r="C18" s="1525"/>
      <c r="D18" s="1525"/>
      <c r="E18" s="1525"/>
      <c r="F18" s="179" t="s">
        <v>178</v>
      </c>
      <c r="G18" s="1251">
        <f>G11+G12+G13+G14+G17</f>
        <v>5657.2464952692826</v>
      </c>
      <c r="H18" s="1252"/>
      <c r="I18" s="1251">
        <f>I11+I12+I13+I14+I17</f>
        <v>471.43720793910694</v>
      </c>
      <c r="J18" s="1252"/>
    </row>
    <row r="19" spans="1:10" ht="27" customHeight="1" x14ac:dyDescent="0.3">
      <c r="A19" s="179">
        <v>7</v>
      </c>
      <c r="B19" s="1245" t="s">
        <v>700</v>
      </c>
      <c r="C19" s="1246"/>
      <c r="D19" s="1246"/>
      <c r="E19" s="1246"/>
      <c r="F19" s="256" t="s">
        <v>642</v>
      </c>
      <c r="G19" s="1249">
        <f>Характеристика!H45*20</f>
        <v>4000</v>
      </c>
      <c r="H19" s="1534"/>
      <c r="I19" s="1249">
        <f>G19/12</f>
        <v>333.33333333333331</v>
      </c>
      <c r="J19" s="1534"/>
    </row>
    <row r="20" spans="1:10" ht="26.4" x14ac:dyDescent="0.3">
      <c r="A20" s="179">
        <v>8</v>
      </c>
      <c r="B20" s="1245" t="s">
        <v>701</v>
      </c>
      <c r="C20" s="1246"/>
      <c r="D20" s="1246"/>
      <c r="E20" s="1246"/>
      <c r="F20" s="256" t="s">
        <v>702</v>
      </c>
      <c r="G20" s="1536">
        <v>2.5999999999999998E-4</v>
      </c>
      <c r="H20" s="1537"/>
      <c r="I20" s="1536">
        <v>2.5999999999999998E-4</v>
      </c>
      <c r="J20" s="1537"/>
    </row>
    <row r="21" spans="1:10" x14ac:dyDescent="0.3">
      <c r="A21" s="179">
        <v>9</v>
      </c>
      <c r="B21" s="1245" t="s">
        <v>703</v>
      </c>
      <c r="C21" s="1246"/>
      <c r="D21" s="1246"/>
      <c r="E21" s="1246"/>
      <c r="F21" s="256" t="s">
        <v>178</v>
      </c>
      <c r="G21" s="1249">
        <f>розрахунок!D51</f>
        <v>263.83</v>
      </c>
      <c r="H21" s="1534"/>
      <c r="I21" s="1249">
        <f>розрахунок!D51</f>
        <v>263.83</v>
      </c>
      <c r="J21" s="1534"/>
    </row>
    <row r="22" spans="1:10" ht="41.4" customHeight="1" x14ac:dyDescent="0.3">
      <c r="A22" s="179">
        <v>10</v>
      </c>
      <c r="B22" s="1524" t="s">
        <v>746</v>
      </c>
      <c r="C22" s="1525"/>
      <c r="D22" s="1525"/>
      <c r="E22" s="1525"/>
      <c r="F22" s="256" t="s">
        <v>178</v>
      </c>
      <c r="G22" s="1235">
        <f>G19*G20*G21</f>
        <v>274.38319999999993</v>
      </c>
      <c r="H22" s="1535"/>
      <c r="I22" s="1235">
        <f>I19*I20*I21</f>
        <v>22.865266666666663</v>
      </c>
      <c r="J22" s="1535"/>
    </row>
    <row r="23" spans="1:10" x14ac:dyDescent="0.3">
      <c r="A23" s="179">
        <v>11</v>
      </c>
      <c r="B23" s="1238" t="s">
        <v>665</v>
      </c>
      <c r="C23" s="1250"/>
      <c r="D23" s="1250"/>
      <c r="E23" s="1250"/>
      <c r="F23" s="179" t="s">
        <v>178</v>
      </c>
      <c r="G23" s="1251">
        <f>G18+G22</f>
        <v>5931.6296952692828</v>
      </c>
      <c r="H23" s="1252"/>
      <c r="I23" s="1251">
        <f>I18+I22</f>
        <v>494.30247460577363</v>
      </c>
      <c r="J23" s="1253"/>
    </row>
    <row r="24" spans="1:10" ht="15.6" x14ac:dyDescent="0.3">
      <c r="A24" s="179">
        <v>12</v>
      </c>
      <c r="B24" s="1538" t="s">
        <v>120</v>
      </c>
      <c r="C24" s="1539"/>
      <c r="D24" s="1539"/>
      <c r="E24" s="1539"/>
      <c r="F24" s="179" t="s">
        <v>220</v>
      </c>
      <c r="G24" s="1235">
        <f>Характеристика!N18</f>
        <v>3207.38</v>
      </c>
      <c r="H24" s="1236"/>
      <c r="I24" s="1236"/>
      <c r="J24" s="1237"/>
    </row>
    <row r="25" spans="1:10" x14ac:dyDescent="0.3">
      <c r="A25" s="179">
        <v>13</v>
      </c>
      <c r="B25" s="1238" t="s">
        <v>498</v>
      </c>
      <c r="C25" s="1239"/>
      <c r="D25" s="1239"/>
      <c r="E25" s="1239"/>
      <c r="F25" s="179" t="s">
        <v>178</v>
      </c>
      <c r="G25" s="1240">
        <f>I23/G24</f>
        <v>0.15411409767653775</v>
      </c>
      <c r="H25" s="1241"/>
      <c r="I25" s="1540"/>
      <c r="J25" s="1276"/>
    </row>
    <row r="26" spans="1:10" x14ac:dyDescent="0.3">
      <c r="A26" s="180"/>
      <c r="B26" s="181"/>
      <c r="C26" s="146"/>
      <c r="D26" s="146"/>
      <c r="E26" s="146"/>
      <c r="F26" s="180"/>
      <c r="G26" s="182"/>
      <c r="H26" s="182"/>
      <c r="I26" s="183"/>
      <c r="J26" s="183"/>
    </row>
    <row r="27" spans="1:10" x14ac:dyDescent="0.3">
      <c r="A27" s="178" t="s">
        <v>221</v>
      </c>
      <c r="B27" s="176"/>
      <c r="C27" s="176"/>
      <c r="D27" s="176"/>
      <c r="E27" s="176"/>
      <c r="F27" s="176"/>
      <c r="G27" s="182"/>
      <c r="H27" s="182"/>
      <c r="I27" s="183"/>
      <c r="J27" s="183"/>
    </row>
    <row r="28" spans="1:10" x14ac:dyDescent="0.3">
      <c r="A28" s="146"/>
      <c r="B28" s="146"/>
      <c r="C28" s="566"/>
      <c r="D28" s="566"/>
      <c r="E28" s="566"/>
      <c r="F28" s="566"/>
      <c r="G28" s="182"/>
      <c r="H28" s="182"/>
      <c r="I28" s="183"/>
      <c r="J28" s="183"/>
    </row>
    <row r="29" spans="1:10" ht="46.8" customHeight="1" x14ac:dyDescent="0.3">
      <c r="A29" s="1244" t="s">
        <v>704</v>
      </c>
      <c r="B29" s="1244"/>
      <c r="C29" s="1244"/>
      <c r="D29" s="1244"/>
      <c r="E29" s="1244"/>
      <c r="F29" s="1244"/>
      <c r="G29" s="1244"/>
      <c r="H29" s="1244"/>
      <c r="I29" s="1244"/>
      <c r="J29" s="1244"/>
    </row>
    <row r="30" spans="1:10" ht="37.200000000000003" customHeight="1" x14ac:dyDescent="0.3">
      <c r="A30" s="1214" t="s">
        <v>504</v>
      </c>
      <c r="B30" s="1215"/>
      <c r="C30" s="1215"/>
      <c r="D30" s="1215"/>
      <c r="E30" s="1215"/>
      <c r="F30" s="1215"/>
      <c r="G30" s="1215"/>
      <c r="H30" s="1215"/>
      <c r="I30" s="1215"/>
      <c r="J30" s="1215"/>
    </row>
    <row r="31" spans="1:10" x14ac:dyDescent="0.3">
      <c r="A31" s="1226" t="s">
        <v>744</v>
      </c>
      <c r="B31" s="1227"/>
      <c r="C31" s="1227"/>
      <c r="D31" s="1227"/>
      <c r="E31" s="1228" t="s">
        <v>223</v>
      </c>
      <c r="F31" s="1228"/>
      <c r="G31" s="184">
        <f>розрахунок!D44</f>
        <v>250</v>
      </c>
      <c r="H31" s="1228" t="s">
        <v>224</v>
      </c>
      <c r="I31" s="1228"/>
      <c r="J31" s="184">
        <f>розрахунок!D46</f>
        <v>1993</v>
      </c>
    </row>
    <row r="32" spans="1:10" x14ac:dyDescent="0.3">
      <c r="A32" s="407"/>
      <c r="B32" s="475"/>
      <c r="C32" s="475"/>
      <c r="D32" s="475"/>
      <c r="E32" s="475"/>
      <c r="F32" s="475"/>
      <c r="G32" s="475"/>
      <c r="H32" s="475"/>
      <c r="I32" s="475"/>
      <c r="J32" s="475"/>
    </row>
    <row r="33" spans="1:10" x14ac:dyDescent="0.3">
      <c r="A33" s="539" t="s">
        <v>225</v>
      </c>
      <c r="B33" s="1508" t="s">
        <v>226</v>
      </c>
      <c r="C33" s="1508"/>
      <c r="D33" s="1508"/>
      <c r="E33" s="1508"/>
      <c r="F33" s="1508"/>
      <c r="G33" s="187"/>
      <c r="H33" s="187"/>
      <c r="I33" s="187"/>
      <c r="J33" s="187"/>
    </row>
    <row r="34" spans="1:10" ht="91.8" x14ac:dyDescent="0.3">
      <c r="A34" s="188" t="s">
        <v>227</v>
      </c>
      <c r="B34" s="1230" t="s">
        <v>228</v>
      </c>
      <c r="C34" s="1231"/>
      <c r="D34" s="189" t="s">
        <v>229</v>
      </c>
      <c r="E34" s="190" t="s">
        <v>230</v>
      </c>
      <c r="F34" s="1232" t="s">
        <v>231</v>
      </c>
      <c r="G34" s="1231"/>
      <c r="H34" s="191" t="s">
        <v>232</v>
      </c>
      <c r="I34" s="192" t="s">
        <v>233</v>
      </c>
      <c r="J34" s="192" t="s">
        <v>234</v>
      </c>
    </row>
    <row r="35" spans="1:10" x14ac:dyDescent="0.3">
      <c r="A35" s="193">
        <v>1</v>
      </c>
      <c r="B35" s="1219">
        <v>2</v>
      </c>
      <c r="C35" s="1220"/>
      <c r="D35" s="194">
        <v>3</v>
      </c>
      <c r="E35" s="194">
        <v>4</v>
      </c>
      <c r="F35" s="1221">
        <v>5</v>
      </c>
      <c r="G35" s="1222"/>
      <c r="H35" s="194">
        <v>6</v>
      </c>
      <c r="I35" s="194">
        <v>7</v>
      </c>
      <c r="J35" s="194">
        <v>8</v>
      </c>
    </row>
    <row r="36" spans="1:10" x14ac:dyDescent="0.3">
      <c r="A36" s="195">
        <v>1</v>
      </c>
      <c r="B36" s="1544" t="s">
        <v>705</v>
      </c>
      <c r="C36" s="1545"/>
      <c r="D36" s="727"/>
      <c r="E36" s="727"/>
      <c r="F36" s="727"/>
      <c r="G36" s="727"/>
      <c r="H36" s="567"/>
      <c r="I36" s="568"/>
      <c r="J36" s="569"/>
    </row>
    <row r="37" spans="1:10" ht="37.200000000000003" customHeight="1" x14ac:dyDescent="0.3">
      <c r="A37" s="195"/>
      <c r="B37" s="1541" t="s">
        <v>706</v>
      </c>
      <c r="C37" s="1155"/>
      <c r="D37" s="196">
        <f>Характеристика!H46</f>
        <v>400</v>
      </c>
      <c r="E37" s="231">
        <v>10</v>
      </c>
      <c r="F37" s="1542">
        <v>0.7</v>
      </c>
      <c r="G37" s="1543"/>
      <c r="H37" s="196">
        <f t="shared" ref="H37:H45" si="0">D37/100*F37*E37</f>
        <v>28</v>
      </c>
      <c r="I37" s="228">
        <v>2</v>
      </c>
      <c r="J37" s="570" t="s">
        <v>707</v>
      </c>
    </row>
    <row r="38" spans="1:10" ht="32.4" hidden="1" customHeight="1" x14ac:dyDescent="0.3">
      <c r="A38" s="195"/>
      <c r="B38" s="1541"/>
      <c r="C38" s="1155"/>
      <c r="D38" s="196"/>
      <c r="E38" s="231"/>
      <c r="F38" s="1542"/>
      <c r="G38" s="1543"/>
      <c r="H38" s="196"/>
      <c r="I38" s="228"/>
      <c r="J38" s="570"/>
    </row>
    <row r="39" spans="1:10" ht="40.200000000000003" hidden="1" customHeight="1" x14ac:dyDescent="0.3">
      <c r="A39" s="195"/>
      <c r="B39" s="1541" t="s">
        <v>708</v>
      </c>
      <c r="C39" s="1155"/>
      <c r="D39" s="196"/>
      <c r="E39" s="231">
        <v>6</v>
      </c>
      <c r="F39" s="1542">
        <v>1.1000000000000001</v>
      </c>
      <c r="G39" s="1543"/>
      <c r="H39" s="196">
        <f t="shared" si="0"/>
        <v>0</v>
      </c>
      <c r="I39" s="228">
        <v>2</v>
      </c>
      <c r="J39" s="570" t="s">
        <v>709</v>
      </c>
    </row>
    <row r="40" spans="1:10" ht="34.799999999999997" hidden="1" customHeight="1" x14ac:dyDescent="0.3">
      <c r="A40" s="195"/>
      <c r="B40" s="1541" t="s">
        <v>710</v>
      </c>
      <c r="C40" s="1155"/>
      <c r="D40" s="196"/>
      <c r="E40" s="231">
        <v>6</v>
      </c>
      <c r="F40" s="1542">
        <v>0.9</v>
      </c>
      <c r="G40" s="1543"/>
      <c r="H40" s="196">
        <f t="shared" si="0"/>
        <v>0</v>
      </c>
      <c r="I40" s="228">
        <v>2</v>
      </c>
      <c r="J40" s="570" t="s">
        <v>711</v>
      </c>
    </row>
    <row r="41" spans="1:10" ht="38.4" hidden="1" customHeight="1" x14ac:dyDescent="0.3">
      <c r="A41" s="195"/>
      <c r="B41" s="1541" t="s">
        <v>712</v>
      </c>
      <c r="C41" s="1155"/>
      <c r="D41" s="196"/>
      <c r="E41" s="231">
        <v>6</v>
      </c>
      <c r="F41" s="1542">
        <v>1.1000000000000001</v>
      </c>
      <c r="G41" s="1543"/>
      <c r="H41" s="196">
        <f t="shared" si="0"/>
        <v>0</v>
      </c>
      <c r="I41" s="228">
        <v>2</v>
      </c>
      <c r="J41" s="570" t="s">
        <v>713</v>
      </c>
    </row>
    <row r="42" spans="1:10" ht="38.4" hidden="1" customHeight="1" x14ac:dyDescent="0.3">
      <c r="A42" s="195"/>
      <c r="B42" s="1541" t="s">
        <v>714</v>
      </c>
      <c r="C42" s="1155"/>
      <c r="D42" s="196"/>
      <c r="E42" s="231">
        <v>6</v>
      </c>
      <c r="F42" s="1542">
        <v>1.35</v>
      </c>
      <c r="G42" s="1543"/>
      <c r="H42" s="196">
        <f t="shared" si="0"/>
        <v>0</v>
      </c>
      <c r="I42" s="228">
        <v>2</v>
      </c>
      <c r="J42" s="570" t="s">
        <v>715</v>
      </c>
    </row>
    <row r="43" spans="1:10" ht="32.4" customHeight="1" x14ac:dyDescent="0.3">
      <c r="A43" s="195" t="s">
        <v>237</v>
      </c>
      <c r="B43" s="1484" t="s">
        <v>716</v>
      </c>
      <c r="C43" s="1550"/>
      <c r="D43" s="196">
        <f>Характеристика!H47</f>
        <v>430</v>
      </c>
      <c r="E43" s="231">
        <v>10</v>
      </c>
      <c r="F43" s="1199">
        <v>0.18</v>
      </c>
      <c r="G43" s="1551"/>
      <c r="H43" s="196">
        <f t="shared" si="0"/>
        <v>7.7399999999999993</v>
      </c>
      <c r="I43" s="540">
        <v>2</v>
      </c>
      <c r="J43" s="570" t="s">
        <v>717</v>
      </c>
    </row>
    <row r="44" spans="1:10" ht="30" hidden="1" customHeight="1" x14ac:dyDescent="0.3">
      <c r="A44" s="195"/>
      <c r="B44" s="1541" t="s">
        <v>718</v>
      </c>
      <c r="C44" s="1155"/>
      <c r="D44" s="196"/>
      <c r="E44" s="231">
        <v>6</v>
      </c>
      <c r="F44" s="1542">
        <v>1</v>
      </c>
      <c r="G44" s="1543"/>
      <c r="H44" s="196">
        <f t="shared" si="0"/>
        <v>0</v>
      </c>
      <c r="I44" s="228">
        <v>2</v>
      </c>
      <c r="J44" s="570" t="s">
        <v>719</v>
      </c>
    </row>
    <row r="45" spans="1:10" ht="45" hidden="1" customHeight="1" x14ac:dyDescent="0.3">
      <c r="A45" s="195"/>
      <c r="B45" s="1541" t="s">
        <v>720</v>
      </c>
      <c r="C45" s="1155"/>
      <c r="D45" s="196">
        <f>[1]Таблица_Характеристика!M58+[1]Таблица_Характеристика!N58</f>
        <v>0</v>
      </c>
      <c r="E45" s="231">
        <v>6</v>
      </c>
      <c r="F45" s="1542">
        <v>1.2</v>
      </c>
      <c r="G45" s="1543"/>
      <c r="H45" s="196">
        <f t="shared" si="0"/>
        <v>0</v>
      </c>
      <c r="I45" s="228">
        <v>2</v>
      </c>
      <c r="J45" s="570" t="s">
        <v>721</v>
      </c>
    </row>
    <row r="46" spans="1:10" hidden="1" x14ac:dyDescent="0.3">
      <c r="A46" s="195" t="s">
        <v>237</v>
      </c>
      <c r="B46" s="1546" t="s">
        <v>722</v>
      </c>
      <c r="C46" s="1547"/>
      <c r="D46" s="1548"/>
      <c r="E46" s="1548"/>
      <c r="F46" s="1548"/>
      <c r="G46" s="1548"/>
      <c r="H46" s="1549"/>
      <c r="I46" s="228"/>
      <c r="J46" s="570"/>
    </row>
    <row r="47" spans="1:10" ht="34.799999999999997" hidden="1" customHeight="1" x14ac:dyDescent="0.3">
      <c r="A47" s="195"/>
      <c r="B47" s="1208" t="s">
        <v>723</v>
      </c>
      <c r="C47" s="1498"/>
      <c r="D47" s="196"/>
      <c r="E47" s="231">
        <v>6</v>
      </c>
      <c r="F47" s="1199">
        <v>8.33</v>
      </c>
      <c r="G47" s="1397"/>
      <c r="H47" s="196"/>
      <c r="I47" s="228">
        <v>18</v>
      </c>
      <c r="J47" s="570" t="s">
        <v>724</v>
      </c>
    </row>
    <row r="48" spans="1:10" ht="35.4" customHeight="1" x14ac:dyDescent="0.3">
      <c r="A48" s="195" t="s">
        <v>241</v>
      </c>
      <c r="B48" s="1216" t="s">
        <v>725</v>
      </c>
      <c r="C48" s="1552"/>
      <c r="D48" s="200">
        <f>Характеристика!H48</f>
        <v>7</v>
      </c>
      <c r="E48" s="571">
        <v>20</v>
      </c>
      <c r="F48" s="1553">
        <v>3.6</v>
      </c>
      <c r="G48" s="1554"/>
      <c r="H48" s="200">
        <f>F48/100*D48*E48</f>
        <v>5.04</v>
      </c>
      <c r="I48" s="194">
        <v>3</v>
      </c>
      <c r="J48" s="572" t="s">
        <v>726</v>
      </c>
    </row>
    <row r="49" spans="1:10" ht="35.4" customHeight="1" x14ac:dyDescent="0.3">
      <c r="A49" s="195" t="s">
        <v>242</v>
      </c>
      <c r="B49" s="1216" t="s">
        <v>727</v>
      </c>
      <c r="C49" s="1552"/>
      <c r="D49" s="200">
        <f>Характеристика!H49</f>
        <v>80</v>
      </c>
      <c r="E49" s="571">
        <v>10</v>
      </c>
      <c r="F49" s="1553">
        <v>0.69</v>
      </c>
      <c r="G49" s="1554"/>
      <c r="H49" s="200">
        <f>F49/10*D49*E49</f>
        <v>55.199999999999996</v>
      </c>
      <c r="I49" s="194">
        <v>9</v>
      </c>
      <c r="J49" s="572" t="s">
        <v>728</v>
      </c>
    </row>
    <row r="50" spans="1:10" ht="33.6" customHeight="1" x14ac:dyDescent="0.3">
      <c r="A50" s="195" t="s">
        <v>257</v>
      </c>
      <c r="B50" s="1216" t="s">
        <v>729</v>
      </c>
      <c r="C50" s="1552"/>
      <c r="D50" s="200">
        <f>Характеристика!G84</f>
        <v>4</v>
      </c>
      <c r="E50" s="571">
        <v>10</v>
      </c>
      <c r="F50" s="1553">
        <v>0.6</v>
      </c>
      <c r="G50" s="1554"/>
      <c r="H50" s="200">
        <f>F50/10*D50*E50</f>
        <v>2.4</v>
      </c>
      <c r="I50" s="194">
        <v>13</v>
      </c>
      <c r="J50" s="572" t="s">
        <v>730</v>
      </c>
    </row>
    <row r="51" spans="1:10" ht="33.6" customHeight="1" x14ac:dyDescent="0.3">
      <c r="A51" s="195" t="s">
        <v>260</v>
      </c>
      <c r="B51" s="1216" t="s">
        <v>914</v>
      </c>
      <c r="C51" s="1552"/>
      <c r="D51" s="200">
        <f>Характеристика!H44</f>
        <v>70</v>
      </c>
      <c r="E51" s="571">
        <v>20</v>
      </c>
      <c r="F51" s="1553">
        <v>0.2</v>
      </c>
      <c r="G51" s="1554"/>
      <c r="H51" s="200">
        <f>F51/100*D51*E51</f>
        <v>2.8000000000000003</v>
      </c>
      <c r="I51" s="194">
        <v>20</v>
      </c>
      <c r="J51" s="572" t="s">
        <v>477</v>
      </c>
    </row>
    <row r="52" spans="1:10" x14ac:dyDescent="0.3">
      <c r="A52" s="214"/>
      <c r="B52" s="1189" t="s">
        <v>263</v>
      </c>
      <c r="C52" s="1190"/>
      <c r="D52" s="215"/>
      <c r="E52" s="216"/>
      <c r="F52" s="1191"/>
      <c r="G52" s="1191"/>
      <c r="H52" s="217">
        <f>SUM(H37:H51)</f>
        <v>101.17999999999999</v>
      </c>
      <c r="I52" s="218"/>
      <c r="J52" s="219"/>
    </row>
    <row r="53" spans="1:10" x14ac:dyDescent="0.3">
      <c r="A53" s="220"/>
      <c r="B53" s="221"/>
      <c r="C53" s="221"/>
      <c r="D53" s="220"/>
      <c r="E53" s="220"/>
      <c r="F53" s="220"/>
      <c r="G53" s="220"/>
      <c r="H53" s="222"/>
      <c r="I53" s="223"/>
      <c r="J53" s="223"/>
    </row>
    <row r="54" spans="1:10" x14ac:dyDescent="0.3">
      <c r="A54" s="1180" t="s">
        <v>265</v>
      </c>
      <c r="B54" s="1196"/>
      <c r="C54" s="1196"/>
      <c r="D54" s="1196"/>
      <c r="E54" s="1196"/>
      <c r="F54" s="1196"/>
      <c r="G54" s="1196"/>
      <c r="H54" s="1196"/>
      <c r="I54" s="1196"/>
      <c r="J54" s="1196"/>
    </row>
    <row r="55" spans="1:10" ht="72" x14ac:dyDescent="0.3">
      <c r="A55" s="1490" t="s">
        <v>187</v>
      </c>
      <c r="B55" s="1184"/>
      <c r="C55" s="224" t="s">
        <v>266</v>
      </c>
      <c r="D55" s="225" t="s">
        <v>267</v>
      </c>
      <c r="E55" s="226" t="s">
        <v>268</v>
      </c>
      <c r="F55" s="227" t="s">
        <v>269</v>
      </c>
      <c r="G55" s="227" t="s">
        <v>270</v>
      </c>
      <c r="H55" s="226" t="s">
        <v>271</v>
      </c>
      <c r="I55" s="1183" t="s">
        <v>731</v>
      </c>
      <c r="J55" s="1203"/>
    </row>
    <row r="56" spans="1:10" x14ac:dyDescent="0.3">
      <c r="A56" s="1300">
        <v>1</v>
      </c>
      <c r="B56" s="1184"/>
      <c r="C56" s="225">
        <v>2</v>
      </c>
      <c r="D56" s="228">
        <v>3</v>
      </c>
      <c r="E56" s="228">
        <v>4</v>
      </c>
      <c r="F56" s="228">
        <v>5</v>
      </c>
      <c r="G56" s="229"/>
      <c r="H56" s="228">
        <v>6</v>
      </c>
      <c r="I56" s="1185">
        <v>7</v>
      </c>
      <c r="J56" s="1186"/>
    </row>
    <row r="57" spans="1:10" x14ac:dyDescent="0.3">
      <c r="A57" s="1266" t="s">
        <v>194</v>
      </c>
      <c r="B57" s="779"/>
      <c r="C57" s="230">
        <f>H52</f>
        <v>101.17999999999999</v>
      </c>
      <c r="D57" s="231">
        <f>J31</f>
        <v>1993</v>
      </c>
      <c r="E57" s="196">
        <f>ROUND(C57/D57,2)</f>
        <v>0.05</v>
      </c>
      <c r="F57" s="196">
        <f>оклади!K7</f>
        <v>4173</v>
      </c>
      <c r="G57" s="203">
        <f>E57*F57</f>
        <v>208.65</v>
      </c>
      <c r="H57" s="196">
        <f>G57*0</f>
        <v>0</v>
      </c>
      <c r="I57" s="1187">
        <f>G57*1.09+H57</f>
        <v>227.42850000000001</v>
      </c>
      <c r="J57" s="1188"/>
    </row>
    <row r="58" spans="1:10" x14ac:dyDescent="0.3">
      <c r="A58" s="556"/>
      <c r="B58" s="502"/>
      <c r="C58" s="573"/>
      <c r="D58" s="574"/>
      <c r="E58" s="574"/>
      <c r="F58" s="574"/>
      <c r="G58" s="575"/>
      <c r="H58" s="574"/>
      <c r="I58" s="574"/>
      <c r="J58" s="576"/>
    </row>
    <row r="59" spans="1:10" x14ac:dyDescent="0.3">
      <c r="A59" s="1555" t="s">
        <v>621</v>
      </c>
      <c r="B59" s="1555"/>
      <c r="C59" s="1555"/>
      <c r="D59" s="1555"/>
      <c r="E59" s="1555"/>
      <c r="F59" s="1555"/>
      <c r="G59" s="1555"/>
      <c r="H59" s="1555"/>
      <c r="I59" s="1555"/>
      <c r="J59" s="1555"/>
    </row>
    <row r="60" spans="1:10" ht="60" x14ac:dyDescent="0.3">
      <c r="A60" s="1171" t="s">
        <v>274</v>
      </c>
      <c r="B60" s="1181"/>
      <c r="C60" s="226" t="s">
        <v>275</v>
      </c>
      <c r="D60" s="1171" t="s">
        <v>493</v>
      </c>
      <c r="E60" s="779"/>
      <c r="F60" s="226" t="s">
        <v>277</v>
      </c>
      <c r="G60" s="1171" t="s">
        <v>732</v>
      </c>
      <c r="H60" s="779"/>
      <c r="I60" s="1171" t="s">
        <v>733</v>
      </c>
      <c r="J60" s="779"/>
    </row>
    <row r="61" spans="1:10" x14ac:dyDescent="0.3">
      <c r="A61" s="1171">
        <v>1</v>
      </c>
      <c r="B61" s="1181"/>
      <c r="C61" s="226">
        <v>2</v>
      </c>
      <c r="D61" s="1171">
        <v>3</v>
      </c>
      <c r="E61" s="779"/>
      <c r="F61" s="226">
        <v>4</v>
      </c>
      <c r="G61" s="1171">
        <v>5</v>
      </c>
      <c r="H61" s="779"/>
      <c r="I61" s="1171">
        <v>6</v>
      </c>
      <c r="J61" s="779"/>
    </row>
    <row r="62" spans="1:10" ht="44.4" customHeight="1" x14ac:dyDescent="0.3">
      <c r="A62" s="1266" t="s">
        <v>280</v>
      </c>
      <c r="B62" s="1266"/>
      <c r="C62" s="399">
        <f>сход.клітки!C73</f>
        <v>1782768</v>
      </c>
      <c r="D62" s="1173">
        <f>сход.клітки!D73</f>
        <v>4193729</v>
      </c>
      <c r="E62" s="779"/>
      <c r="F62" s="472">
        <f>C62/D62*100</f>
        <v>42.51032911282536</v>
      </c>
      <c r="G62" s="1173">
        <f>I57</f>
        <v>227.42850000000001</v>
      </c>
      <c r="H62" s="779"/>
      <c r="I62" s="1173">
        <f>F62*G62/100</f>
        <v>96.680603846362033</v>
      </c>
      <c r="J62" s="779"/>
    </row>
    <row r="63" spans="1:10" ht="22.2" customHeight="1" x14ac:dyDescent="0.3">
      <c r="A63" s="1266" t="s">
        <v>734</v>
      </c>
      <c r="B63" s="1266"/>
      <c r="C63" s="399">
        <f>сход.клітки!C74</f>
        <v>2914645</v>
      </c>
      <c r="D63" s="1173">
        <f>сход.клітки!D74</f>
        <v>14598843</v>
      </c>
      <c r="E63" s="779"/>
      <c r="F63" s="472">
        <f>C63/D63*100</f>
        <v>19.964904068082657</v>
      </c>
      <c r="G63" s="1173">
        <f>I11+I12+I14+I17+I22+I62</f>
        <v>412.03923634636209</v>
      </c>
      <c r="H63" s="779"/>
      <c r="I63" s="1173">
        <f>F63*G63/100</f>
        <v>82.263238259411551</v>
      </c>
      <c r="J63" s="779"/>
    </row>
    <row r="64" spans="1:10" x14ac:dyDescent="0.3">
      <c r="A64" s="1268" t="s">
        <v>219</v>
      </c>
      <c r="B64" s="1268"/>
      <c r="C64" s="400"/>
      <c r="D64" s="1176"/>
      <c r="E64" s="1532"/>
      <c r="F64" s="473"/>
      <c r="G64" s="1176"/>
      <c r="H64" s="1532"/>
      <c r="I64" s="1176">
        <f>SUM(I62:I63)</f>
        <v>178.94384210577357</v>
      </c>
      <c r="J64" s="1532"/>
    </row>
    <row r="65" spans="1:10" x14ac:dyDescent="0.3">
      <c r="A65" s="146"/>
      <c r="B65" s="146"/>
      <c r="C65" s="146"/>
      <c r="D65" s="146"/>
      <c r="E65" s="146"/>
      <c r="F65" s="146"/>
      <c r="G65" s="146"/>
      <c r="H65" s="146"/>
      <c r="I65" s="146"/>
      <c r="J65" s="146"/>
    </row>
    <row r="66" spans="1:10" x14ac:dyDescent="0.3">
      <c r="A66" s="178" t="s">
        <v>735</v>
      </c>
      <c r="B66" s="178"/>
      <c r="C66" s="178"/>
      <c r="D66" s="178"/>
      <c r="E66" s="178"/>
      <c r="F66" s="178"/>
      <c r="G66" s="178"/>
      <c r="H66" s="178"/>
      <c r="I66" s="178"/>
      <c r="J66" s="178"/>
    </row>
    <row r="67" spans="1:10" ht="105.6" x14ac:dyDescent="0.3">
      <c r="A67" s="1191" t="s">
        <v>736</v>
      </c>
      <c r="B67" s="1191"/>
      <c r="C67" s="1191"/>
      <c r="D67" s="189" t="s">
        <v>229</v>
      </c>
      <c r="E67" s="190" t="s">
        <v>230</v>
      </c>
      <c r="F67" s="466" t="s">
        <v>737</v>
      </c>
      <c r="G67" s="1302" t="s">
        <v>738</v>
      </c>
      <c r="H67" s="1302"/>
      <c r="I67" s="466" t="s">
        <v>739</v>
      </c>
      <c r="J67" s="466" t="s">
        <v>740</v>
      </c>
    </row>
    <row r="68" spans="1:10" x14ac:dyDescent="0.3">
      <c r="A68" s="1191">
        <v>1</v>
      </c>
      <c r="B68" s="1191"/>
      <c r="C68" s="1191"/>
      <c r="D68" s="189">
        <v>2</v>
      </c>
      <c r="E68" s="192">
        <v>3</v>
      </c>
      <c r="F68" s="466">
        <v>4</v>
      </c>
      <c r="G68" s="1302">
        <v>5</v>
      </c>
      <c r="H68" s="1302"/>
      <c r="I68" s="409">
        <v>6</v>
      </c>
      <c r="J68" s="409">
        <v>7</v>
      </c>
    </row>
    <row r="69" spans="1:10" x14ac:dyDescent="0.3">
      <c r="A69" s="1284" t="s">
        <v>741</v>
      </c>
      <c r="B69" s="1284"/>
      <c r="C69" s="1284"/>
      <c r="D69" s="471">
        <f>Характеристика!H44</f>
        <v>70</v>
      </c>
      <c r="E69" s="406">
        <v>20</v>
      </c>
      <c r="F69" s="406">
        <v>1.4999999999999999E-2</v>
      </c>
      <c r="G69" s="1285">
        <f>D69/100*E69*F69</f>
        <v>0.21</v>
      </c>
      <c r="H69" s="1285"/>
      <c r="I69" s="471">
        <f>розрахунок!D50</f>
        <v>295.14</v>
      </c>
      <c r="J69" s="471">
        <f>G69*I69</f>
        <v>61.979399999999998</v>
      </c>
    </row>
  </sheetData>
  <mergeCells count="128">
    <mergeCell ref="G1:J1"/>
    <mergeCell ref="G2:J2"/>
    <mergeCell ref="G3:J3"/>
    <mergeCell ref="I4:J4"/>
    <mergeCell ref="A6:J6"/>
    <mergeCell ref="A7:J7"/>
    <mergeCell ref="A67:C67"/>
    <mergeCell ref="G67:H67"/>
    <mergeCell ref="A68:C68"/>
    <mergeCell ref="G68:H68"/>
    <mergeCell ref="A61:B61"/>
    <mergeCell ref="D61:E61"/>
    <mergeCell ref="G61:H61"/>
    <mergeCell ref="I61:J61"/>
    <mergeCell ref="A62:B62"/>
    <mergeCell ref="D62:E62"/>
    <mergeCell ref="G62:H62"/>
    <mergeCell ref="I62:J62"/>
    <mergeCell ref="A56:B56"/>
    <mergeCell ref="I56:J56"/>
    <mergeCell ref="A57:B57"/>
    <mergeCell ref="I57:J57"/>
    <mergeCell ref="A59:J59"/>
    <mergeCell ref="A60:B60"/>
    <mergeCell ref="A69:C69"/>
    <mergeCell ref="G69:H69"/>
    <mergeCell ref="A63:B63"/>
    <mergeCell ref="D63:E63"/>
    <mergeCell ref="G63:H63"/>
    <mergeCell ref="I63:J63"/>
    <mergeCell ref="A64:B64"/>
    <mergeCell ref="D64:E64"/>
    <mergeCell ref="G64:H64"/>
    <mergeCell ref="I64:J64"/>
    <mergeCell ref="D60:E60"/>
    <mergeCell ref="G60:H60"/>
    <mergeCell ref="I60:J60"/>
    <mergeCell ref="B52:C52"/>
    <mergeCell ref="F52:G52"/>
    <mergeCell ref="A54:J54"/>
    <mergeCell ref="A55:B55"/>
    <mergeCell ref="I55:J55"/>
    <mergeCell ref="B48:C48"/>
    <mergeCell ref="F48:G48"/>
    <mergeCell ref="B49:C49"/>
    <mergeCell ref="F49:G49"/>
    <mergeCell ref="B50:C50"/>
    <mergeCell ref="F50:G50"/>
    <mergeCell ref="B51:C51"/>
    <mergeCell ref="F51:G51"/>
    <mergeCell ref="B44:C44"/>
    <mergeCell ref="F44:G44"/>
    <mergeCell ref="B45:C45"/>
    <mergeCell ref="F45:G45"/>
    <mergeCell ref="B46:H46"/>
    <mergeCell ref="B47:C47"/>
    <mergeCell ref="F47:G47"/>
    <mergeCell ref="B41:C41"/>
    <mergeCell ref="F41:G41"/>
    <mergeCell ref="B42:C42"/>
    <mergeCell ref="F42:G42"/>
    <mergeCell ref="B43:C43"/>
    <mergeCell ref="F43:G43"/>
    <mergeCell ref="B38:C38"/>
    <mergeCell ref="F38:G38"/>
    <mergeCell ref="B39:C39"/>
    <mergeCell ref="F39:G39"/>
    <mergeCell ref="B40:C40"/>
    <mergeCell ref="F40:G40"/>
    <mergeCell ref="B34:C34"/>
    <mergeCell ref="F34:G34"/>
    <mergeCell ref="B35:C35"/>
    <mergeCell ref="F35:G35"/>
    <mergeCell ref="B36:G36"/>
    <mergeCell ref="B37:C37"/>
    <mergeCell ref="F37:G37"/>
    <mergeCell ref="A29:J29"/>
    <mergeCell ref="A30:J30"/>
    <mergeCell ref="A31:D31"/>
    <mergeCell ref="E31:F31"/>
    <mergeCell ref="H31:I31"/>
    <mergeCell ref="B33:F33"/>
    <mergeCell ref="B24:E24"/>
    <mergeCell ref="G24:J24"/>
    <mergeCell ref="B25:E25"/>
    <mergeCell ref="G25:J25"/>
    <mergeCell ref="B22:E22"/>
    <mergeCell ref="G22:H22"/>
    <mergeCell ref="I22:J22"/>
    <mergeCell ref="B23:E23"/>
    <mergeCell ref="G23:H23"/>
    <mergeCell ref="I23:J23"/>
    <mergeCell ref="B20:E20"/>
    <mergeCell ref="G20:H20"/>
    <mergeCell ref="I20:J20"/>
    <mergeCell ref="B21:E21"/>
    <mergeCell ref="G21:H21"/>
    <mergeCell ref="I21:J21"/>
    <mergeCell ref="B18:E18"/>
    <mergeCell ref="G18:H18"/>
    <mergeCell ref="I18:J18"/>
    <mergeCell ref="B19:E19"/>
    <mergeCell ref="G19:H19"/>
    <mergeCell ref="I19:J19"/>
    <mergeCell ref="B16:E16"/>
    <mergeCell ref="G16:H16"/>
    <mergeCell ref="I16:J16"/>
    <mergeCell ref="B17:E17"/>
    <mergeCell ref="G17:H17"/>
    <mergeCell ref="I17:J17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  <mergeCell ref="B14:E14"/>
    <mergeCell ref="G14:H14"/>
    <mergeCell ref="I14:J14"/>
  </mergeCells>
  <pageMargins left="0.7" right="0.7" top="0.75" bottom="0.75" header="0.3" footer="0.3"/>
  <pageSetup paperSize="9" scale="85" orientation="portrait" r:id="rId1"/>
  <rowBreaks count="1" manualBreakCount="1">
    <brk id="32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40F5E-E08E-44D9-8B62-10AFDD860D5B}">
  <dimension ref="A1:J22"/>
  <sheetViews>
    <sheetView topLeftCell="A4" zoomScaleNormal="100" workbookViewId="0">
      <selection activeCell="F15" sqref="F15:G15"/>
    </sheetView>
  </sheetViews>
  <sheetFormatPr defaultRowHeight="14.4" x14ac:dyDescent="0.3"/>
  <cols>
    <col min="3" max="3" width="22.109375" customWidth="1"/>
    <col min="4" max="4" width="22.88671875" customWidth="1"/>
    <col min="5" max="5" width="9.44140625" customWidth="1"/>
    <col min="7" max="7" width="9.77734375" customWidth="1"/>
  </cols>
  <sheetData>
    <row r="1" spans="1:10" x14ac:dyDescent="0.3">
      <c r="A1" s="12" t="str">
        <f>сход.клітки!A1</f>
        <v>м. КанівДніпробудівська7</v>
      </c>
      <c r="D1" s="1261" t="s">
        <v>211</v>
      </c>
      <c r="E1" s="1261"/>
      <c r="F1" s="1261"/>
      <c r="G1" s="1261"/>
    </row>
    <row r="2" spans="1:10" x14ac:dyDescent="0.3">
      <c r="D2" s="1261" t="s">
        <v>105</v>
      </c>
      <c r="E2" s="1261"/>
      <c r="F2" s="1261"/>
      <c r="G2" s="1261"/>
    </row>
    <row r="3" spans="1:10" x14ac:dyDescent="0.3">
      <c r="D3" s="1265" t="s">
        <v>634</v>
      </c>
      <c r="E3" s="1265"/>
      <c r="F3" s="1265"/>
      <c r="G3" s="1265"/>
    </row>
    <row r="4" spans="1:10" x14ac:dyDescent="0.3">
      <c r="D4" s="247"/>
      <c r="E4" s="248"/>
      <c r="F4" s="1262" t="s">
        <v>293</v>
      </c>
      <c r="G4" s="1262"/>
    </row>
    <row r="6" spans="1:10" x14ac:dyDescent="0.3">
      <c r="A6" s="1263" t="s">
        <v>297</v>
      </c>
      <c r="B6" s="1263"/>
      <c r="C6" s="1263"/>
      <c r="D6" s="1263"/>
      <c r="E6" s="1263"/>
      <c r="F6" s="1263"/>
      <c r="G6" s="1263"/>
      <c r="H6" s="532"/>
      <c r="I6" s="532"/>
      <c r="J6" s="532"/>
    </row>
    <row r="7" spans="1:10" x14ac:dyDescent="0.3">
      <c r="A7" s="1482" t="s">
        <v>753</v>
      </c>
      <c r="B7" s="1482"/>
      <c r="C7" s="1482"/>
      <c r="D7" s="1482"/>
      <c r="E7" s="1482"/>
      <c r="F7" s="1482"/>
      <c r="G7" s="1482"/>
    </row>
    <row r="9" spans="1:10" ht="52.8" x14ac:dyDescent="0.3">
      <c r="A9" s="482" t="s">
        <v>213</v>
      </c>
      <c r="B9" s="1258" t="s">
        <v>748</v>
      </c>
      <c r="C9" s="779"/>
      <c r="D9" s="779"/>
      <c r="E9" s="476" t="s">
        <v>215</v>
      </c>
      <c r="F9" s="482" t="s">
        <v>216</v>
      </c>
      <c r="G9" s="476" t="s">
        <v>755</v>
      </c>
    </row>
    <row r="10" spans="1:10" ht="30.6" customHeight="1" x14ac:dyDescent="0.3">
      <c r="A10" s="147">
        <v>1</v>
      </c>
      <c r="B10" s="1155" t="s">
        <v>752</v>
      </c>
      <c r="C10" s="779"/>
      <c r="D10" s="779"/>
      <c r="E10" s="577" t="s">
        <v>642</v>
      </c>
      <c r="F10" s="1558">
        <f>розрахунок!D9</f>
        <v>500</v>
      </c>
      <c r="G10" s="779"/>
    </row>
    <row r="11" spans="1:10" ht="33.6" customHeight="1" x14ac:dyDescent="0.3">
      <c r="A11" s="147">
        <v>2</v>
      </c>
      <c r="B11" s="1155" t="s">
        <v>754</v>
      </c>
      <c r="C11" s="779"/>
      <c r="D11" s="779"/>
      <c r="E11" s="577" t="s">
        <v>178</v>
      </c>
      <c r="F11" s="1559">
        <f>Характеристика!M104</f>
        <v>0.1075</v>
      </c>
      <c r="G11" s="1560"/>
    </row>
    <row r="12" spans="1:10" x14ac:dyDescent="0.3">
      <c r="A12" s="147">
        <v>5</v>
      </c>
      <c r="B12" s="1155" t="s">
        <v>500</v>
      </c>
      <c r="C12" s="779"/>
      <c r="D12" s="779"/>
      <c r="E12" s="577" t="s">
        <v>178</v>
      </c>
      <c r="F12" s="577">
        <f>G12*12</f>
        <v>128.77363123913315</v>
      </c>
      <c r="G12" s="578">
        <f>G22</f>
        <v>10.731135936594429</v>
      </c>
    </row>
    <row r="13" spans="1:10" x14ac:dyDescent="0.3">
      <c r="A13" s="147">
        <v>6</v>
      </c>
      <c r="B13" s="1557" t="s">
        <v>665</v>
      </c>
      <c r="C13" s="779"/>
      <c r="D13" s="779"/>
      <c r="E13" s="579" t="s">
        <v>178</v>
      </c>
      <c r="F13" s="579">
        <f>G13*12</f>
        <v>773.77363123913312</v>
      </c>
      <c r="G13" s="580">
        <f>F10*F11+G12</f>
        <v>64.481135936594427</v>
      </c>
    </row>
    <row r="14" spans="1:10" ht="15.6" x14ac:dyDescent="0.3">
      <c r="A14" s="147">
        <v>7</v>
      </c>
      <c r="B14" s="1561" t="s">
        <v>120</v>
      </c>
      <c r="C14" s="1562"/>
      <c r="D14" s="1562"/>
      <c r="E14" s="579" t="s">
        <v>642</v>
      </c>
      <c r="F14" s="1563">
        <f>Характеристика!N18</f>
        <v>3207.38</v>
      </c>
      <c r="G14" s="1532"/>
    </row>
    <row r="15" spans="1:10" x14ac:dyDescent="0.3">
      <c r="A15" s="147">
        <v>8</v>
      </c>
      <c r="B15" s="1238" t="s">
        <v>498</v>
      </c>
      <c r="C15" s="779"/>
      <c r="D15" s="779"/>
      <c r="E15" s="215" t="s">
        <v>178</v>
      </c>
      <c r="F15" s="1564">
        <f>G13/F14</f>
        <v>2.0103990152895643E-2</v>
      </c>
      <c r="G15" s="779"/>
    </row>
    <row r="16" spans="1:10" x14ac:dyDescent="0.3">
      <c r="A16" s="145"/>
      <c r="B16" s="538"/>
      <c r="C16" s="37"/>
      <c r="D16" s="37"/>
      <c r="E16" s="517"/>
      <c r="F16" s="517"/>
      <c r="G16" s="581"/>
    </row>
    <row r="17" spans="1:7" x14ac:dyDescent="0.3">
      <c r="A17" s="1556" t="s">
        <v>621</v>
      </c>
      <c r="B17" s="1272"/>
      <c r="C17" s="1272"/>
      <c r="D17" s="1272"/>
      <c r="E17" s="1272"/>
      <c r="F17" s="1272"/>
      <c r="G17" s="1272"/>
    </row>
    <row r="18" spans="1:7" ht="84" x14ac:dyDescent="0.3">
      <c r="A18" s="1183" t="s">
        <v>274</v>
      </c>
      <c r="B18" s="1299"/>
      <c r="C18" s="227" t="s">
        <v>275</v>
      </c>
      <c r="D18" s="227" t="s">
        <v>749</v>
      </c>
      <c r="E18" s="226" t="s">
        <v>277</v>
      </c>
      <c r="F18" s="227" t="s">
        <v>750</v>
      </c>
      <c r="G18" s="226" t="s">
        <v>751</v>
      </c>
    </row>
    <row r="19" spans="1:7" x14ac:dyDescent="0.3">
      <c r="A19" s="1183">
        <v>1</v>
      </c>
      <c r="B19" s="1299"/>
      <c r="C19" s="227">
        <v>2</v>
      </c>
      <c r="D19" s="227">
        <v>3</v>
      </c>
      <c r="E19" s="227">
        <v>4</v>
      </c>
      <c r="F19" s="227">
        <v>5</v>
      </c>
      <c r="G19" s="226">
        <v>6</v>
      </c>
    </row>
    <row r="20" spans="1:7" ht="23.4" customHeight="1" x14ac:dyDescent="0.3">
      <c r="A20" s="1400" t="s">
        <v>280</v>
      </c>
      <c r="B20" s="1401"/>
      <c r="C20" s="399">
        <f>прибирання!C49</f>
        <v>1782768</v>
      </c>
      <c r="D20" s="238">
        <f>прибирання!D49</f>
        <v>4193729</v>
      </c>
      <c r="E20" s="463">
        <f>C20/D20*100</f>
        <v>42.51032911282536</v>
      </c>
      <c r="F20" s="479">
        <v>0</v>
      </c>
      <c r="G20" s="238">
        <f>E20*F20/100</f>
        <v>0</v>
      </c>
    </row>
    <row r="21" spans="1:7" ht="28.2" customHeight="1" x14ac:dyDescent="0.3">
      <c r="A21" s="1400" t="s">
        <v>281</v>
      </c>
      <c r="B21" s="1401"/>
      <c r="C21" s="399">
        <f>прибирання!C50</f>
        <v>2914645</v>
      </c>
      <c r="D21" s="238">
        <f>прибирання!D50</f>
        <v>14598843</v>
      </c>
      <c r="E21" s="463">
        <f>C21/D21*100</f>
        <v>19.964904068082657</v>
      </c>
      <c r="F21" s="479">
        <f>F10*F11+G20</f>
        <v>53.75</v>
      </c>
      <c r="G21" s="238">
        <f>E21*F21/100</f>
        <v>10.731135936594429</v>
      </c>
    </row>
    <row r="22" spans="1:7" ht="28.2" customHeight="1" x14ac:dyDescent="0.3">
      <c r="A22" s="1404" t="s">
        <v>282</v>
      </c>
      <c r="B22" s="1405"/>
      <c r="C22" s="400"/>
      <c r="D22" s="401"/>
      <c r="E22" s="464"/>
      <c r="F22" s="480"/>
      <c r="G22" s="401">
        <f>SUM(G20:G21)</f>
        <v>10.731135936594429</v>
      </c>
    </row>
  </sheetData>
  <mergeCells count="23">
    <mergeCell ref="A18:B18"/>
    <mergeCell ref="A19:B19"/>
    <mergeCell ref="A20:B20"/>
    <mergeCell ref="A21:B21"/>
    <mergeCell ref="A22:B22"/>
    <mergeCell ref="D1:G1"/>
    <mergeCell ref="B14:D14"/>
    <mergeCell ref="F14:G14"/>
    <mergeCell ref="B15:D15"/>
    <mergeCell ref="F15:G15"/>
    <mergeCell ref="D2:G2"/>
    <mergeCell ref="D3:G3"/>
    <mergeCell ref="F4:G4"/>
    <mergeCell ref="A6:G6"/>
    <mergeCell ref="A7:G7"/>
    <mergeCell ref="A17:G17"/>
    <mergeCell ref="B12:D12"/>
    <mergeCell ref="B13:D13"/>
    <mergeCell ref="B9:D9"/>
    <mergeCell ref="B10:D10"/>
    <mergeCell ref="F10:G10"/>
    <mergeCell ref="B11:D11"/>
    <mergeCell ref="F11:G11"/>
  </mergeCells>
  <pageMargins left="0.7" right="0.7" top="0.75" bottom="0.75" header="0.3" footer="0.3"/>
  <pageSetup paperSize="9" scale="9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884DA-12E6-4575-822D-6543B200D807}">
  <dimension ref="A1:J16"/>
  <sheetViews>
    <sheetView view="pageBreakPreview" zoomScale="60" zoomScaleNormal="100" workbookViewId="0">
      <selection activeCell="I11" sqref="I11:J11"/>
    </sheetView>
  </sheetViews>
  <sheetFormatPr defaultRowHeight="14.4" x14ac:dyDescent="0.3"/>
  <cols>
    <col min="10" max="10" width="9.44140625" bestFit="1" customWidth="1"/>
  </cols>
  <sheetData>
    <row r="1" spans="1:10" x14ac:dyDescent="0.3">
      <c r="A1" s="12" t="str">
        <f>дератизація!A1</f>
        <v>м. КанівДніпробудівська7</v>
      </c>
      <c r="G1" s="1261" t="s">
        <v>211</v>
      </c>
      <c r="H1" s="1261"/>
      <c r="I1" s="1261"/>
      <c r="J1" s="1261"/>
    </row>
    <row r="2" spans="1:10" x14ac:dyDescent="0.3">
      <c r="G2" s="1261" t="s">
        <v>105</v>
      </c>
      <c r="H2" s="1261"/>
      <c r="I2" s="1261"/>
      <c r="J2" s="1261"/>
    </row>
    <row r="3" spans="1:10" x14ac:dyDescent="0.3">
      <c r="G3" s="1265" t="s">
        <v>634</v>
      </c>
      <c r="H3" s="1265"/>
      <c r="I3" s="1265"/>
      <c r="J3" s="1265"/>
    </row>
    <row r="4" spans="1:10" x14ac:dyDescent="0.3">
      <c r="G4" s="247"/>
      <c r="H4" s="248"/>
      <c r="I4" s="1262" t="s">
        <v>293</v>
      </c>
      <c r="J4" s="1262"/>
    </row>
    <row r="6" spans="1:10" x14ac:dyDescent="0.3">
      <c r="A6" s="1263" t="s">
        <v>297</v>
      </c>
      <c r="B6" s="1263"/>
      <c r="C6" s="1263"/>
      <c r="D6" s="1263"/>
      <c r="E6" s="1263"/>
      <c r="F6" s="1263"/>
      <c r="G6" s="1263"/>
      <c r="H6" s="1263"/>
      <c r="I6" s="1263"/>
      <c r="J6" s="1263"/>
    </row>
    <row r="7" spans="1:10" x14ac:dyDescent="0.3">
      <c r="A7" s="1482" t="s">
        <v>756</v>
      </c>
      <c r="B7" s="1482"/>
      <c r="C7" s="1482"/>
      <c r="D7" s="1482"/>
      <c r="E7" s="1482"/>
      <c r="F7" s="1482"/>
      <c r="G7" s="1482"/>
      <c r="H7" s="1482"/>
      <c r="I7" s="1482"/>
      <c r="J7" s="1482"/>
    </row>
    <row r="9" spans="1:10" ht="39.6" x14ac:dyDescent="0.3">
      <c r="A9" s="147" t="s">
        <v>213</v>
      </c>
      <c r="B9" s="1258" t="s">
        <v>214</v>
      </c>
      <c r="C9" s="1459"/>
      <c r="D9" s="1459"/>
      <c r="E9" s="1459"/>
      <c r="F9" s="1459"/>
      <c r="G9" s="1459"/>
      <c r="H9" s="482" t="s">
        <v>215</v>
      </c>
      <c r="I9" s="482" t="s">
        <v>216</v>
      </c>
      <c r="J9" s="482" t="s">
        <v>489</v>
      </c>
    </row>
    <row r="10" spans="1:10" ht="66" customHeight="1" x14ac:dyDescent="0.3">
      <c r="A10" s="147">
        <v>1</v>
      </c>
      <c r="B10" s="1155" t="s">
        <v>757</v>
      </c>
      <c r="C10" s="1156"/>
      <c r="D10" s="1156"/>
      <c r="E10" s="1156"/>
      <c r="F10" s="1156"/>
      <c r="G10" s="1156"/>
      <c r="H10" s="409" t="s">
        <v>178</v>
      </c>
      <c r="I10" s="673">
        <f>ROUND(J10*12,2)</f>
        <v>18345.36</v>
      </c>
      <c r="J10" s="669">
        <f>розрахунок!D53</f>
        <v>1528.78</v>
      </c>
    </row>
    <row r="11" spans="1:10" x14ac:dyDescent="0.3">
      <c r="A11" s="147">
        <v>2</v>
      </c>
      <c r="B11" s="1155" t="s">
        <v>760</v>
      </c>
      <c r="C11" s="1156"/>
      <c r="D11" s="1156"/>
      <c r="E11" s="1156"/>
      <c r="F11" s="1156"/>
      <c r="G11" s="1156"/>
      <c r="H11" s="409" t="s">
        <v>165</v>
      </c>
      <c r="I11" s="1565">
        <f>Характеристика!I12</f>
        <v>0</v>
      </c>
      <c r="J11" s="1565"/>
    </row>
    <row r="12" spans="1:10" x14ac:dyDescent="0.3">
      <c r="A12" s="147">
        <v>3</v>
      </c>
      <c r="B12" s="1155" t="s">
        <v>761</v>
      </c>
      <c r="C12" s="1156"/>
      <c r="D12" s="1156"/>
      <c r="E12" s="1156"/>
      <c r="F12" s="1156"/>
      <c r="G12" s="1156"/>
      <c r="H12" s="409" t="s">
        <v>178</v>
      </c>
      <c r="I12" s="503">
        <f>I10*I11</f>
        <v>0</v>
      </c>
      <c r="J12" s="503">
        <f>J10*I11</f>
        <v>0</v>
      </c>
    </row>
    <row r="13" spans="1:10" x14ac:dyDescent="0.3">
      <c r="A13" s="147">
        <v>5</v>
      </c>
      <c r="B13" s="1557" t="s">
        <v>665</v>
      </c>
      <c r="C13" s="1239"/>
      <c r="D13" s="1239"/>
      <c r="E13" s="1239"/>
      <c r="F13" s="1239"/>
      <c r="G13" s="1239"/>
      <c r="H13" s="147" t="s">
        <v>178</v>
      </c>
      <c r="I13" s="504">
        <f>I12</f>
        <v>0</v>
      </c>
      <c r="J13" s="504">
        <f>J12</f>
        <v>0</v>
      </c>
    </row>
    <row r="14" spans="1:10" x14ac:dyDescent="0.3">
      <c r="A14" s="147">
        <v>7</v>
      </c>
      <c r="B14" s="1155" t="s">
        <v>120</v>
      </c>
      <c r="C14" s="1156"/>
      <c r="D14" s="1156"/>
      <c r="E14" s="1156"/>
      <c r="F14" s="1156"/>
      <c r="G14" s="1156"/>
      <c r="H14" s="409" t="s">
        <v>642</v>
      </c>
      <c r="I14" s="1254">
        <f>Характеристика!N18</f>
        <v>3207.38</v>
      </c>
      <c r="J14" s="1254"/>
    </row>
    <row r="15" spans="1:10" x14ac:dyDescent="0.3">
      <c r="A15" s="147">
        <v>8</v>
      </c>
      <c r="B15" s="1274" t="s">
        <v>498</v>
      </c>
      <c r="C15" s="1566"/>
      <c r="D15" s="1566"/>
      <c r="E15" s="1566"/>
      <c r="F15" s="1454"/>
      <c r="G15" s="1455"/>
      <c r="H15" s="147" t="s">
        <v>178</v>
      </c>
      <c r="I15" s="1567">
        <f>J13/I14</f>
        <v>0</v>
      </c>
      <c r="J15" s="1567"/>
    </row>
    <row r="16" spans="1:10" x14ac:dyDescent="0.3">
      <c r="A16" s="145"/>
      <c r="B16" s="538"/>
      <c r="C16" s="178"/>
      <c r="D16" s="178"/>
      <c r="E16" s="178"/>
      <c r="F16" s="146"/>
      <c r="G16" s="146"/>
      <c r="H16" s="145"/>
      <c r="I16" s="582"/>
      <c r="J16" s="582"/>
    </row>
  </sheetData>
  <mergeCells count="16">
    <mergeCell ref="A7:J7"/>
    <mergeCell ref="G1:J1"/>
    <mergeCell ref="G2:J2"/>
    <mergeCell ref="G3:J3"/>
    <mergeCell ref="I4:J4"/>
    <mergeCell ref="A6:J6"/>
    <mergeCell ref="B15:G15"/>
    <mergeCell ref="I15:J15"/>
    <mergeCell ref="B13:G13"/>
    <mergeCell ref="B14:G14"/>
    <mergeCell ref="I14:J14"/>
    <mergeCell ref="B9:G9"/>
    <mergeCell ref="B10:G10"/>
    <mergeCell ref="B11:G11"/>
    <mergeCell ref="I11:J11"/>
    <mergeCell ref="B12:G12"/>
  </mergeCells>
  <pageMargins left="0.7" right="0.7" top="0.75" bottom="0.75" header="0.3" footer="0.3"/>
  <pageSetup paperSize="9" scale="97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B1411-A047-4186-8B3C-B8B20629E911}">
  <dimension ref="A1:J24"/>
  <sheetViews>
    <sheetView workbookViewId="0">
      <selection activeCell="L10" sqref="L10"/>
    </sheetView>
  </sheetViews>
  <sheetFormatPr defaultRowHeight="14.4" x14ac:dyDescent="0.3"/>
  <cols>
    <col min="1" max="1" width="6.88671875" customWidth="1"/>
    <col min="3" max="3" width="14" customWidth="1"/>
    <col min="4" max="4" width="12.88671875" customWidth="1"/>
    <col min="5" max="5" width="13.109375" customWidth="1"/>
    <col min="6" max="6" width="9" customWidth="1"/>
    <col min="7" max="7" width="12.44140625" customWidth="1"/>
  </cols>
  <sheetData>
    <row r="1" spans="1:10" x14ac:dyDescent="0.3">
      <c r="A1" s="12" t="str">
        <f>дератизація!A1</f>
        <v>м. КанівДніпробудівська7</v>
      </c>
      <c r="E1" s="1261" t="s">
        <v>211</v>
      </c>
      <c r="F1" s="1261"/>
      <c r="G1" s="1261"/>
      <c r="H1" s="1261"/>
    </row>
    <row r="2" spans="1:10" x14ac:dyDescent="0.3">
      <c r="E2" s="1261" t="s">
        <v>105</v>
      </c>
      <c r="F2" s="1261"/>
      <c r="G2" s="1261"/>
      <c r="H2" s="1261"/>
    </row>
    <row r="3" spans="1:10" x14ac:dyDescent="0.3">
      <c r="E3" s="1265" t="s">
        <v>634</v>
      </c>
      <c r="F3" s="1265"/>
      <c r="G3" s="1265"/>
      <c r="H3" s="1265"/>
    </row>
    <row r="4" spans="1:10" x14ac:dyDescent="0.3">
      <c r="E4" s="247"/>
      <c r="F4" s="248"/>
      <c r="G4" s="1262" t="s">
        <v>293</v>
      </c>
      <c r="H4" s="1262"/>
    </row>
    <row r="6" spans="1:10" x14ac:dyDescent="0.3">
      <c r="A6" s="1263" t="s">
        <v>297</v>
      </c>
      <c r="B6" s="1263"/>
      <c r="C6" s="1263"/>
      <c r="D6" s="1263"/>
      <c r="E6" s="1263"/>
      <c r="F6" s="1263"/>
      <c r="G6" s="1263"/>
      <c r="H6" s="1263"/>
      <c r="I6" s="532"/>
      <c r="J6" s="532"/>
    </row>
    <row r="7" spans="1:10" x14ac:dyDescent="0.3">
      <c r="A7" s="1482" t="s">
        <v>766</v>
      </c>
      <c r="B7" s="1482"/>
      <c r="C7" s="1482"/>
      <c r="D7" s="1482"/>
      <c r="E7" s="1482"/>
      <c r="F7" s="1482"/>
      <c r="G7" s="1482"/>
      <c r="H7" s="1482"/>
    </row>
    <row r="9" spans="1:10" ht="40.200000000000003" x14ac:dyDescent="0.3">
      <c r="A9" s="486" t="s">
        <v>213</v>
      </c>
      <c r="B9" s="1568" t="s">
        <v>214</v>
      </c>
      <c r="C9" s="1568"/>
      <c r="D9" s="1568"/>
      <c r="E9" s="1568"/>
      <c r="F9" s="486" t="s">
        <v>215</v>
      </c>
      <c r="G9" s="486" t="s">
        <v>216</v>
      </c>
      <c r="H9" s="486" t="s">
        <v>217</v>
      </c>
    </row>
    <row r="10" spans="1:10" ht="24.6" customHeight="1" x14ac:dyDescent="0.3">
      <c r="A10" s="207">
        <v>1</v>
      </c>
      <c r="B10" s="1569" t="s">
        <v>765</v>
      </c>
      <c r="C10" s="1569"/>
      <c r="D10" s="1569"/>
      <c r="E10" s="1569"/>
      <c r="F10" s="468" t="s">
        <v>178</v>
      </c>
      <c r="G10" s="471">
        <f>H10*12</f>
        <v>0</v>
      </c>
      <c r="H10" s="471">
        <f>ROUND(239.2*Характеристика!I12,2)</f>
        <v>0</v>
      </c>
    </row>
    <row r="11" spans="1:10" ht="35.4" customHeight="1" x14ac:dyDescent="0.3">
      <c r="A11" s="207">
        <v>2</v>
      </c>
      <c r="B11" s="1460" t="s">
        <v>637</v>
      </c>
      <c r="C11" s="1460"/>
      <c r="D11" s="1460"/>
      <c r="E11" s="1460"/>
      <c r="F11" s="468" t="s">
        <v>178</v>
      </c>
      <c r="G11" s="471">
        <f>H11*12</f>
        <v>0</v>
      </c>
      <c r="H11" s="471">
        <f>H10*розрахунок!D40/100</f>
        <v>0</v>
      </c>
    </row>
    <row r="12" spans="1:10" x14ac:dyDescent="0.3">
      <c r="A12" s="207">
        <v>3</v>
      </c>
      <c r="B12" s="1460" t="s">
        <v>500</v>
      </c>
      <c r="C12" s="1460"/>
      <c r="D12" s="1460"/>
      <c r="E12" s="1460"/>
      <c r="F12" s="468" t="s">
        <v>178</v>
      </c>
      <c r="G12" s="471">
        <f>H12*12</f>
        <v>0</v>
      </c>
      <c r="H12" s="471">
        <f>H24</f>
        <v>0</v>
      </c>
    </row>
    <row r="13" spans="1:10" x14ac:dyDescent="0.3">
      <c r="A13" s="207">
        <v>4</v>
      </c>
      <c r="B13" s="1460" t="s">
        <v>486</v>
      </c>
      <c r="C13" s="1460"/>
      <c r="D13" s="1460"/>
      <c r="E13" s="1460"/>
      <c r="F13" s="468" t="s">
        <v>178</v>
      </c>
      <c r="G13" s="471">
        <f>H13*12</f>
        <v>0</v>
      </c>
      <c r="H13" s="471">
        <f>ROUND(5.19*Характеристика!I12,2)</f>
        <v>0</v>
      </c>
    </row>
    <row r="14" spans="1:10" x14ac:dyDescent="0.3">
      <c r="A14" s="207">
        <v>5</v>
      </c>
      <c r="B14" s="1460" t="s">
        <v>487</v>
      </c>
      <c r="C14" s="1460"/>
      <c r="D14" s="1460"/>
      <c r="E14" s="1460"/>
      <c r="F14" s="468" t="s">
        <v>178</v>
      </c>
      <c r="G14" s="471">
        <f>H14*12</f>
        <v>0</v>
      </c>
      <c r="H14" s="471">
        <v>0</v>
      </c>
    </row>
    <row r="15" spans="1:10" x14ac:dyDescent="0.3">
      <c r="A15" s="207">
        <v>6</v>
      </c>
      <c r="B15" s="1568" t="s">
        <v>665</v>
      </c>
      <c r="C15" s="1568"/>
      <c r="D15" s="1568"/>
      <c r="E15" s="1568"/>
      <c r="F15" s="215" t="s">
        <v>178</v>
      </c>
      <c r="G15" s="583">
        <f>SUM(G10:G14)</f>
        <v>0</v>
      </c>
      <c r="H15" s="583">
        <f>SUM(H10:H14)</f>
        <v>0</v>
      </c>
    </row>
    <row r="16" spans="1:10" ht="15.6" x14ac:dyDescent="0.3">
      <c r="A16" s="207">
        <v>7</v>
      </c>
      <c r="B16" s="1570" t="s">
        <v>120</v>
      </c>
      <c r="C16" s="1570"/>
      <c r="D16" s="1570"/>
      <c r="E16" s="1570"/>
      <c r="F16" s="468" t="s">
        <v>220</v>
      </c>
      <c r="G16" s="1571">
        <f>Характеристика!N18</f>
        <v>3207.38</v>
      </c>
      <c r="H16" s="1455"/>
    </row>
    <row r="17" spans="1:8" x14ac:dyDescent="0.3">
      <c r="A17" s="207">
        <v>8</v>
      </c>
      <c r="B17" s="1238" t="s">
        <v>498</v>
      </c>
      <c r="C17" s="1239"/>
      <c r="D17" s="1239"/>
      <c r="E17" s="1239"/>
      <c r="F17" s="215" t="s">
        <v>178</v>
      </c>
      <c r="G17" s="1572">
        <f>H15/G16</f>
        <v>0</v>
      </c>
      <c r="H17" s="1573"/>
    </row>
    <row r="18" spans="1:8" x14ac:dyDescent="0.3">
      <c r="A18" s="178"/>
      <c r="B18" s="538"/>
      <c r="C18" s="178"/>
      <c r="D18" s="178"/>
      <c r="E18" s="178"/>
      <c r="F18" s="517"/>
      <c r="G18" s="582"/>
      <c r="H18" s="582"/>
    </row>
    <row r="19" spans="1:8" x14ac:dyDescent="0.3">
      <c r="A19" s="1556" t="s">
        <v>762</v>
      </c>
      <c r="B19" s="1574"/>
      <c r="C19" s="1574"/>
      <c r="D19" s="1574"/>
      <c r="E19" s="1574"/>
      <c r="F19" s="146"/>
      <c r="G19" s="146"/>
      <c r="H19" s="146"/>
    </row>
    <row r="20" spans="1:8" ht="132" x14ac:dyDescent="0.3">
      <c r="A20" s="1183" t="s">
        <v>274</v>
      </c>
      <c r="B20" s="1299"/>
      <c r="C20" s="227" t="s">
        <v>275</v>
      </c>
      <c r="D20" s="227" t="s">
        <v>493</v>
      </c>
      <c r="E20" s="226" t="s">
        <v>277</v>
      </c>
      <c r="F20" s="1183" t="s">
        <v>763</v>
      </c>
      <c r="G20" s="1184"/>
      <c r="H20" s="226" t="s">
        <v>764</v>
      </c>
    </row>
    <row r="21" spans="1:8" x14ac:dyDescent="0.3">
      <c r="A21" s="1183">
        <v>1</v>
      </c>
      <c r="B21" s="1299"/>
      <c r="C21" s="227">
        <v>2</v>
      </c>
      <c r="D21" s="227">
        <v>3</v>
      </c>
      <c r="E21" s="227">
        <v>4</v>
      </c>
      <c r="F21" s="1183">
        <v>5</v>
      </c>
      <c r="G21" s="1184"/>
      <c r="H21" s="226">
        <v>6</v>
      </c>
    </row>
    <row r="22" spans="1:8" ht="25.8" customHeight="1" x14ac:dyDescent="0.3">
      <c r="A22" s="1400" t="s">
        <v>280</v>
      </c>
      <c r="B22" s="1401"/>
      <c r="C22" s="399"/>
      <c r="D22" s="238"/>
      <c r="E22" s="463">
        <v>14.7</v>
      </c>
      <c r="F22" s="1402">
        <f>H10</f>
        <v>0</v>
      </c>
      <c r="G22" s="764"/>
      <c r="H22" s="238">
        <f>E22*F22/100</f>
        <v>0</v>
      </c>
    </row>
    <row r="23" spans="1:8" ht="30.6" customHeight="1" x14ac:dyDescent="0.3">
      <c r="A23" s="1400" t="s">
        <v>281</v>
      </c>
      <c r="B23" s="1401"/>
      <c r="C23" s="399"/>
      <c r="D23" s="238"/>
      <c r="E23" s="463">
        <v>23.3</v>
      </c>
      <c r="F23" s="1402">
        <f>H10+H11+H13+H14+H22</f>
        <v>0</v>
      </c>
      <c r="G23" s="764"/>
      <c r="H23" s="238">
        <f>E23*F23/100</f>
        <v>0</v>
      </c>
    </row>
    <row r="24" spans="1:8" ht="22.8" customHeight="1" x14ac:dyDescent="0.3">
      <c r="A24" s="1404" t="s">
        <v>282</v>
      </c>
      <c r="B24" s="1405"/>
      <c r="C24" s="400"/>
      <c r="D24" s="401"/>
      <c r="E24" s="464"/>
      <c r="F24" s="1406"/>
      <c r="G24" s="764"/>
      <c r="H24" s="401">
        <f>SUM(H22:H23)</f>
        <v>0</v>
      </c>
    </row>
  </sheetData>
  <mergeCells count="28">
    <mergeCell ref="A7:H7"/>
    <mergeCell ref="E1:H1"/>
    <mergeCell ref="E2:H2"/>
    <mergeCell ref="E3:H3"/>
    <mergeCell ref="G4:H4"/>
    <mergeCell ref="A6:H6"/>
    <mergeCell ref="A22:B22"/>
    <mergeCell ref="F22:G22"/>
    <mergeCell ref="A23:B23"/>
    <mergeCell ref="F23:G23"/>
    <mergeCell ref="A24:B24"/>
    <mergeCell ref="F24:G24"/>
    <mergeCell ref="A21:B21"/>
    <mergeCell ref="F21:G21"/>
    <mergeCell ref="B15:E15"/>
    <mergeCell ref="B16:E16"/>
    <mergeCell ref="G16:H16"/>
    <mergeCell ref="B17:E17"/>
    <mergeCell ref="G17:H17"/>
    <mergeCell ref="A19:E19"/>
    <mergeCell ref="A20:B20"/>
    <mergeCell ref="F20:G20"/>
    <mergeCell ref="B14:E14"/>
    <mergeCell ref="B9:E9"/>
    <mergeCell ref="B10:E10"/>
    <mergeCell ref="B11:E11"/>
    <mergeCell ref="B12:E12"/>
    <mergeCell ref="B13:E1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845A5-47DF-4496-9783-87BD4002DCCC}">
  <dimension ref="A1:V59"/>
  <sheetViews>
    <sheetView tabSelected="1" topLeftCell="A10" zoomScaleNormal="100" workbookViewId="0">
      <selection activeCell="G50" sqref="G50"/>
    </sheetView>
  </sheetViews>
  <sheetFormatPr defaultRowHeight="15.6" x14ac:dyDescent="0.3"/>
  <cols>
    <col min="1" max="1" width="7.5546875" style="594" customWidth="1"/>
    <col min="2" max="2" width="76.109375" style="592" customWidth="1"/>
    <col min="3" max="3" width="42.77734375" style="592" customWidth="1"/>
    <col min="4" max="4" width="3.6640625" style="592" customWidth="1"/>
    <col min="5" max="22" width="8.88671875" style="592"/>
  </cols>
  <sheetData>
    <row r="1" spans="1:22" ht="40.799999999999997" customHeight="1" x14ac:dyDescent="0.3">
      <c r="A1" s="925" t="s">
        <v>825</v>
      </c>
      <c r="B1" s="925"/>
      <c r="C1" s="925"/>
    </row>
    <row r="3" spans="1:22" s="253" customFormat="1" ht="30" x14ac:dyDescent="0.3">
      <c r="A3" s="599" t="s">
        <v>12</v>
      </c>
      <c r="B3" s="600" t="s">
        <v>770</v>
      </c>
      <c r="C3" s="600" t="s">
        <v>771</v>
      </c>
      <c r="D3" s="593"/>
      <c r="E3" s="593"/>
      <c r="F3" s="593"/>
      <c r="G3" s="593"/>
      <c r="H3" s="593"/>
      <c r="I3" s="593"/>
      <c r="J3" s="593"/>
      <c r="K3" s="593"/>
      <c r="L3" s="593"/>
      <c r="M3" s="593"/>
      <c r="N3" s="593"/>
      <c r="O3" s="593"/>
      <c r="P3" s="593"/>
      <c r="Q3" s="593"/>
      <c r="R3" s="593"/>
      <c r="S3" s="593"/>
      <c r="T3" s="593"/>
      <c r="U3" s="593"/>
      <c r="V3" s="593"/>
    </row>
    <row r="4" spans="1:22" s="595" customFormat="1" ht="15" x14ac:dyDescent="0.3">
      <c r="A4" s="600">
        <v>1</v>
      </c>
      <c r="B4" s="600">
        <v>2</v>
      </c>
      <c r="C4" s="600">
        <v>3</v>
      </c>
      <c r="D4" s="594"/>
      <c r="E4" s="594"/>
      <c r="F4" s="594"/>
      <c r="G4" s="594"/>
      <c r="H4" s="594"/>
      <c r="I4" s="594"/>
      <c r="J4" s="594"/>
      <c r="K4" s="594"/>
      <c r="L4" s="594"/>
      <c r="M4" s="594"/>
      <c r="N4" s="594"/>
      <c r="O4" s="594"/>
      <c r="P4" s="594"/>
      <c r="Q4" s="594"/>
      <c r="R4" s="594"/>
      <c r="S4" s="594"/>
      <c r="T4" s="594"/>
      <c r="U4" s="594"/>
      <c r="V4" s="594"/>
    </row>
    <row r="5" spans="1:22" s="12" customFormat="1" x14ac:dyDescent="0.3">
      <c r="A5" s="601">
        <v>1</v>
      </c>
      <c r="B5" s="924" t="s">
        <v>772</v>
      </c>
      <c r="C5" s="924"/>
      <c r="D5" s="596"/>
      <c r="E5" s="596"/>
      <c r="F5" s="596"/>
      <c r="G5" s="596"/>
      <c r="H5" s="596"/>
      <c r="I5" s="596"/>
      <c r="J5" s="596"/>
      <c r="K5" s="596"/>
      <c r="L5" s="596"/>
      <c r="M5" s="596"/>
      <c r="N5" s="596"/>
      <c r="O5" s="596"/>
      <c r="P5" s="596"/>
      <c r="Q5" s="596"/>
      <c r="R5" s="596"/>
      <c r="S5" s="596"/>
      <c r="T5" s="596"/>
      <c r="U5" s="596"/>
      <c r="V5" s="596"/>
    </row>
    <row r="6" spans="1:22" x14ac:dyDescent="0.3">
      <c r="A6" s="602" t="s">
        <v>779</v>
      </c>
      <c r="B6" s="603" t="s">
        <v>773</v>
      </c>
      <c r="C6" s="604"/>
    </row>
    <row r="7" spans="1:22" x14ac:dyDescent="0.3">
      <c r="A7" s="605"/>
      <c r="B7" s="604" t="s">
        <v>826</v>
      </c>
      <c r="C7" s="604" t="s">
        <v>774</v>
      </c>
    </row>
    <row r="8" spans="1:22" x14ac:dyDescent="0.3">
      <c r="A8" s="605"/>
      <c r="B8" s="604" t="s">
        <v>775</v>
      </c>
      <c r="C8" s="604" t="s">
        <v>792</v>
      </c>
    </row>
    <row r="9" spans="1:22" x14ac:dyDescent="0.3">
      <c r="A9" s="605"/>
      <c r="B9" s="604" t="s">
        <v>605</v>
      </c>
      <c r="C9" s="604" t="s">
        <v>792</v>
      </c>
    </row>
    <row r="10" spans="1:22" x14ac:dyDescent="0.3">
      <c r="A10" s="605"/>
      <c r="B10" s="604" t="s">
        <v>776</v>
      </c>
      <c r="C10" s="604" t="s">
        <v>792</v>
      </c>
    </row>
    <row r="11" spans="1:22" x14ac:dyDescent="0.3">
      <c r="A11" s="605"/>
      <c r="B11" s="604" t="s">
        <v>612</v>
      </c>
      <c r="C11" s="604" t="s">
        <v>792</v>
      </c>
    </row>
    <row r="12" spans="1:22" x14ac:dyDescent="0.3">
      <c r="A12" s="605"/>
      <c r="B12" s="604" t="s">
        <v>777</v>
      </c>
      <c r="C12" s="604" t="s">
        <v>792</v>
      </c>
    </row>
    <row r="13" spans="1:22" x14ac:dyDescent="0.3">
      <c r="A13" s="602" t="s">
        <v>778</v>
      </c>
      <c r="B13" s="603" t="s">
        <v>780</v>
      </c>
      <c r="C13" s="604"/>
    </row>
    <row r="14" spans="1:22" ht="30.6" x14ac:dyDescent="0.3">
      <c r="A14" s="605"/>
      <c r="B14" s="606" t="s">
        <v>782</v>
      </c>
      <c r="C14" s="604" t="s">
        <v>774</v>
      </c>
    </row>
    <row r="15" spans="1:22" x14ac:dyDescent="0.3">
      <c r="A15" s="605"/>
      <c r="B15" s="604" t="s">
        <v>781</v>
      </c>
      <c r="C15" s="604" t="s">
        <v>800</v>
      </c>
    </row>
    <row r="16" spans="1:22" x14ac:dyDescent="0.3">
      <c r="A16" s="605"/>
      <c r="B16" s="604" t="s">
        <v>783</v>
      </c>
      <c r="C16" s="604" t="s">
        <v>800</v>
      </c>
    </row>
    <row r="17" spans="1:3" x14ac:dyDescent="0.3">
      <c r="A17" s="605"/>
      <c r="B17" s="604" t="s">
        <v>784</v>
      </c>
      <c r="C17" s="604" t="s">
        <v>800</v>
      </c>
    </row>
    <row r="18" spans="1:3" x14ac:dyDescent="0.3">
      <c r="A18" s="605"/>
      <c r="B18" s="604" t="s">
        <v>785</v>
      </c>
      <c r="C18" s="604" t="s">
        <v>800</v>
      </c>
    </row>
    <row r="19" spans="1:3" x14ac:dyDescent="0.3">
      <c r="A19" s="605"/>
      <c r="B19" s="604" t="s">
        <v>788</v>
      </c>
      <c r="C19" s="604" t="s">
        <v>792</v>
      </c>
    </row>
    <row r="20" spans="1:3" hidden="1" x14ac:dyDescent="0.3">
      <c r="A20" s="602" t="s">
        <v>786</v>
      </c>
      <c r="B20" s="603" t="s">
        <v>787</v>
      </c>
      <c r="C20" s="604"/>
    </row>
    <row r="21" spans="1:3" hidden="1" x14ac:dyDescent="0.3">
      <c r="A21" s="605"/>
      <c r="B21" s="604" t="s">
        <v>789</v>
      </c>
      <c r="C21" s="604" t="s">
        <v>790</v>
      </c>
    </row>
    <row r="22" spans="1:3" hidden="1" x14ac:dyDescent="0.3">
      <c r="A22" s="605"/>
      <c r="B22" s="604" t="s">
        <v>791</v>
      </c>
      <c r="C22" s="604" t="s">
        <v>792</v>
      </c>
    </row>
    <row r="23" spans="1:3" hidden="1" x14ac:dyDescent="0.3">
      <c r="A23" s="600"/>
      <c r="B23" s="604" t="s">
        <v>793</v>
      </c>
      <c r="C23" s="604" t="s">
        <v>792</v>
      </c>
    </row>
    <row r="24" spans="1:3" x14ac:dyDescent="0.3">
      <c r="A24" s="600"/>
      <c r="B24" s="604" t="s">
        <v>827</v>
      </c>
      <c r="C24" s="604" t="s">
        <v>828</v>
      </c>
    </row>
    <row r="25" spans="1:3" x14ac:dyDescent="0.3">
      <c r="A25" s="602" t="s">
        <v>794</v>
      </c>
      <c r="B25" s="603" t="s">
        <v>795</v>
      </c>
      <c r="C25" s="604"/>
    </row>
    <row r="26" spans="1:3" x14ac:dyDescent="0.3">
      <c r="A26" s="600"/>
      <c r="B26" s="604" t="s">
        <v>796</v>
      </c>
      <c r="C26" s="604" t="s">
        <v>910</v>
      </c>
    </row>
    <row r="27" spans="1:3" x14ac:dyDescent="0.3">
      <c r="A27" s="600"/>
      <c r="B27" s="604" t="s">
        <v>797</v>
      </c>
      <c r="C27" s="604" t="s">
        <v>939</v>
      </c>
    </row>
    <row r="28" spans="1:3" x14ac:dyDescent="0.3">
      <c r="A28" s="600"/>
      <c r="B28" s="604" t="s">
        <v>798</v>
      </c>
      <c r="C28" s="604" t="s">
        <v>939</v>
      </c>
    </row>
    <row r="29" spans="1:3" x14ac:dyDescent="0.3">
      <c r="A29" s="600"/>
      <c r="B29" s="604" t="s">
        <v>799</v>
      </c>
      <c r="C29" s="604" t="s">
        <v>910</v>
      </c>
    </row>
    <row r="30" spans="1:3" x14ac:dyDescent="0.3">
      <c r="A30" s="600"/>
      <c r="B30" s="604" t="s">
        <v>801</v>
      </c>
      <c r="C30" s="604" t="s">
        <v>792</v>
      </c>
    </row>
    <row r="31" spans="1:3" x14ac:dyDescent="0.3">
      <c r="A31" s="600"/>
      <c r="B31" s="604" t="s">
        <v>911</v>
      </c>
      <c r="C31" s="604" t="s">
        <v>912</v>
      </c>
    </row>
    <row r="32" spans="1:3" x14ac:dyDescent="0.3">
      <c r="A32" s="600"/>
      <c r="B32" s="604" t="s">
        <v>802</v>
      </c>
      <c r="C32" s="604" t="s">
        <v>792</v>
      </c>
    </row>
    <row r="33" spans="1:22" x14ac:dyDescent="0.3">
      <c r="A33" s="600"/>
      <c r="B33" s="604" t="s">
        <v>803</v>
      </c>
      <c r="C33" s="604" t="s">
        <v>940</v>
      </c>
    </row>
    <row r="34" spans="1:22" x14ac:dyDescent="0.3">
      <c r="A34" s="600"/>
      <c r="B34" s="604" t="s">
        <v>804</v>
      </c>
      <c r="C34" s="604" t="s">
        <v>792</v>
      </c>
    </row>
    <row r="35" spans="1:22" hidden="1" x14ac:dyDescent="0.3">
      <c r="A35" s="600"/>
      <c r="B35" s="604" t="s">
        <v>805</v>
      </c>
      <c r="C35" s="604"/>
    </row>
    <row r="36" spans="1:22" x14ac:dyDescent="0.3">
      <c r="A36" s="600"/>
      <c r="B36" s="604" t="s">
        <v>806</v>
      </c>
      <c r="C36" s="604" t="s">
        <v>800</v>
      </c>
    </row>
    <row r="37" spans="1:22" x14ac:dyDescent="0.3">
      <c r="A37" s="602" t="s">
        <v>807</v>
      </c>
      <c r="B37" s="603" t="s">
        <v>808</v>
      </c>
      <c r="C37" s="604"/>
    </row>
    <row r="38" spans="1:22" x14ac:dyDescent="0.3">
      <c r="A38" s="600"/>
      <c r="B38" s="604" t="s">
        <v>942</v>
      </c>
      <c r="C38" s="604" t="s">
        <v>910</v>
      </c>
    </row>
    <row r="39" spans="1:22" ht="45.6" x14ac:dyDescent="0.3">
      <c r="A39" s="600"/>
      <c r="B39" s="606" t="s">
        <v>941</v>
      </c>
      <c r="C39" s="604" t="s">
        <v>910</v>
      </c>
    </row>
    <row r="40" spans="1:22" ht="30.6" x14ac:dyDescent="0.3">
      <c r="A40" s="600"/>
      <c r="B40" s="606" t="s">
        <v>943</v>
      </c>
      <c r="C40" s="604" t="s">
        <v>944</v>
      </c>
    </row>
    <row r="41" spans="1:22" s="12" customFormat="1" hidden="1" x14ac:dyDescent="0.3">
      <c r="A41" s="601">
        <v>2</v>
      </c>
      <c r="B41" s="607" t="s">
        <v>0</v>
      </c>
      <c r="C41" s="607" t="s">
        <v>810</v>
      </c>
      <c r="D41" s="596"/>
      <c r="E41" s="596"/>
      <c r="F41" s="596"/>
      <c r="G41" s="596"/>
      <c r="H41" s="596"/>
      <c r="I41" s="596"/>
      <c r="J41" s="596"/>
      <c r="K41" s="596"/>
      <c r="L41" s="596"/>
      <c r="M41" s="596"/>
      <c r="N41" s="596"/>
      <c r="O41" s="596"/>
      <c r="P41" s="596"/>
      <c r="Q41" s="596"/>
      <c r="R41" s="596"/>
      <c r="S41" s="596"/>
      <c r="T41" s="596"/>
      <c r="U41" s="596"/>
      <c r="V41" s="596"/>
    </row>
    <row r="42" spans="1:22" s="12" customFormat="1" hidden="1" x14ac:dyDescent="0.3">
      <c r="A42" s="601">
        <v>3</v>
      </c>
      <c r="B42" s="607" t="s">
        <v>809</v>
      </c>
      <c r="C42" s="607" t="s">
        <v>811</v>
      </c>
      <c r="D42" s="596"/>
      <c r="E42" s="596"/>
      <c r="F42" s="596"/>
      <c r="G42" s="596"/>
      <c r="H42" s="596"/>
      <c r="I42" s="596"/>
      <c r="J42" s="596"/>
      <c r="K42" s="596"/>
      <c r="L42" s="596"/>
      <c r="M42" s="596"/>
      <c r="N42" s="596"/>
      <c r="O42" s="596"/>
      <c r="P42" s="596"/>
      <c r="Q42" s="596"/>
      <c r="R42" s="596"/>
      <c r="S42" s="596"/>
      <c r="T42" s="596"/>
      <c r="U42" s="596"/>
      <c r="V42" s="596"/>
    </row>
    <row r="43" spans="1:22" s="12" customFormat="1" x14ac:dyDescent="0.3">
      <c r="A43" s="601">
        <v>4</v>
      </c>
      <c r="B43" s="607" t="s">
        <v>945</v>
      </c>
      <c r="C43" s="604" t="s">
        <v>800</v>
      </c>
      <c r="D43" s="596"/>
      <c r="E43" s="596"/>
      <c r="F43" s="596"/>
      <c r="G43" s="596"/>
      <c r="H43" s="596"/>
      <c r="I43" s="596"/>
      <c r="J43" s="596"/>
      <c r="K43" s="596"/>
      <c r="L43" s="596"/>
      <c r="M43" s="596"/>
      <c r="N43" s="596"/>
      <c r="O43" s="596"/>
      <c r="P43" s="596"/>
      <c r="Q43" s="596"/>
      <c r="R43" s="596"/>
      <c r="S43" s="596"/>
      <c r="T43" s="596"/>
      <c r="U43" s="596"/>
      <c r="V43" s="596"/>
    </row>
    <row r="44" spans="1:22" s="12" customFormat="1" ht="130.80000000000001" customHeight="1" x14ac:dyDescent="0.3">
      <c r="A44" s="601">
        <v>5</v>
      </c>
      <c r="B44" s="680" t="s">
        <v>2</v>
      </c>
      <c r="C44" s="1575" t="s">
        <v>986</v>
      </c>
      <c r="D44" s="596"/>
      <c r="E44" s="596"/>
      <c r="F44" s="596"/>
      <c r="G44" s="596"/>
      <c r="H44" s="596"/>
      <c r="I44" s="596"/>
      <c r="J44" s="596"/>
      <c r="K44" s="596"/>
      <c r="L44" s="596"/>
      <c r="M44" s="596"/>
      <c r="N44" s="596"/>
      <c r="O44" s="596"/>
      <c r="P44" s="596"/>
      <c r="Q44" s="596"/>
      <c r="R44" s="596"/>
      <c r="S44" s="596"/>
      <c r="T44" s="596"/>
      <c r="U44" s="596"/>
      <c r="V44" s="596"/>
    </row>
    <row r="45" spans="1:22" s="12" customFormat="1" ht="87" customHeight="1" x14ac:dyDescent="0.3">
      <c r="A45" s="601">
        <v>6</v>
      </c>
      <c r="B45" s="680" t="s">
        <v>946</v>
      </c>
      <c r="C45" s="1576"/>
      <c r="D45" s="596"/>
      <c r="E45" s="596"/>
      <c r="F45" s="596"/>
      <c r="G45" s="596"/>
      <c r="H45" s="596"/>
      <c r="I45" s="596"/>
      <c r="J45" s="596"/>
      <c r="K45" s="596"/>
      <c r="L45" s="596"/>
      <c r="M45" s="596"/>
      <c r="N45" s="596"/>
      <c r="O45" s="596"/>
      <c r="P45" s="596"/>
      <c r="Q45" s="596"/>
      <c r="R45" s="596"/>
      <c r="S45" s="596"/>
      <c r="T45" s="596"/>
      <c r="U45" s="596"/>
      <c r="V45" s="596"/>
    </row>
    <row r="46" spans="1:22" s="12" customFormat="1" x14ac:dyDescent="0.3">
      <c r="A46" s="601">
        <v>7</v>
      </c>
      <c r="B46" s="926" t="s">
        <v>4</v>
      </c>
      <c r="C46" s="927"/>
      <c r="D46" s="596"/>
      <c r="E46" s="596"/>
      <c r="F46" s="596"/>
      <c r="G46" s="596"/>
      <c r="H46" s="596"/>
      <c r="I46" s="596"/>
      <c r="J46" s="596"/>
      <c r="K46" s="596"/>
      <c r="L46" s="596"/>
      <c r="M46" s="596"/>
      <c r="N46" s="596"/>
      <c r="O46" s="596"/>
      <c r="P46" s="596"/>
      <c r="Q46" s="596"/>
      <c r="R46" s="596"/>
      <c r="S46" s="596"/>
      <c r="T46" s="596"/>
      <c r="U46" s="596"/>
      <c r="V46" s="596"/>
    </row>
    <row r="47" spans="1:22" x14ac:dyDescent="0.3">
      <c r="A47" s="600"/>
      <c r="B47" s="604" t="s">
        <v>814</v>
      </c>
      <c r="C47" s="604" t="s">
        <v>812</v>
      </c>
    </row>
    <row r="48" spans="1:22" x14ac:dyDescent="0.3">
      <c r="A48" s="600"/>
      <c r="B48" s="604" t="s">
        <v>813</v>
      </c>
      <c r="C48" s="604" t="s">
        <v>815</v>
      </c>
    </row>
    <row r="49" spans="1:22" x14ac:dyDescent="0.3">
      <c r="A49" s="600"/>
      <c r="B49" s="604" t="s">
        <v>253</v>
      </c>
      <c r="C49" s="604" t="s">
        <v>816</v>
      </c>
    </row>
    <row r="50" spans="1:22" x14ac:dyDescent="0.3">
      <c r="A50" s="600"/>
      <c r="B50" s="604" t="s">
        <v>817</v>
      </c>
      <c r="C50" s="604" t="s">
        <v>818</v>
      </c>
    </row>
    <row r="51" spans="1:22" x14ac:dyDescent="0.3">
      <c r="A51" s="600"/>
      <c r="B51" s="604" t="s">
        <v>819</v>
      </c>
      <c r="C51" s="604" t="s">
        <v>812</v>
      </c>
    </row>
    <row r="52" spans="1:22" s="598" customFormat="1" ht="18" hidden="1" customHeight="1" x14ac:dyDescent="0.3">
      <c r="A52" s="609">
        <v>8</v>
      </c>
      <c r="B52" s="928" t="s">
        <v>5</v>
      </c>
      <c r="C52" s="929"/>
      <c r="D52" s="597"/>
      <c r="E52" s="597"/>
      <c r="F52" s="597"/>
      <c r="G52" s="597"/>
      <c r="H52" s="597"/>
      <c r="I52" s="597"/>
      <c r="J52" s="597"/>
      <c r="K52" s="597"/>
      <c r="L52" s="597"/>
      <c r="M52" s="597"/>
      <c r="N52" s="597"/>
      <c r="O52" s="597"/>
      <c r="P52" s="597"/>
      <c r="Q52" s="597"/>
      <c r="R52" s="597"/>
      <c r="S52" s="597"/>
      <c r="T52" s="597"/>
      <c r="U52" s="597"/>
      <c r="V52" s="597"/>
    </row>
    <row r="53" spans="1:22" hidden="1" x14ac:dyDescent="0.3">
      <c r="A53" s="600"/>
      <c r="B53" s="604" t="s">
        <v>820</v>
      </c>
      <c r="C53" s="604"/>
    </row>
    <row r="54" spans="1:22" s="12" customFormat="1" ht="46.8" x14ac:dyDescent="0.3">
      <c r="A54" s="601">
        <v>8</v>
      </c>
      <c r="B54" s="608" t="s">
        <v>938</v>
      </c>
      <c r="C54" s="607"/>
      <c r="D54" s="596"/>
      <c r="E54" s="596"/>
      <c r="F54" s="596"/>
      <c r="G54" s="596"/>
      <c r="H54" s="596"/>
      <c r="I54" s="596"/>
      <c r="J54" s="596"/>
      <c r="K54" s="596"/>
      <c r="L54" s="596"/>
      <c r="M54" s="596"/>
      <c r="N54" s="596"/>
      <c r="O54" s="596"/>
      <c r="P54" s="596"/>
      <c r="Q54" s="596"/>
      <c r="R54" s="596"/>
      <c r="S54" s="596"/>
      <c r="T54" s="596"/>
      <c r="U54" s="596"/>
      <c r="V54" s="596"/>
    </row>
    <row r="55" spans="1:22" x14ac:dyDescent="0.3">
      <c r="A55" s="600"/>
      <c r="B55" s="604" t="s">
        <v>821</v>
      </c>
      <c r="C55" s="604" t="s">
        <v>948</v>
      </c>
    </row>
    <row r="56" spans="1:22" x14ac:dyDescent="0.3">
      <c r="A56" s="600"/>
      <c r="B56" s="604" t="s">
        <v>822</v>
      </c>
      <c r="C56" s="604" t="s">
        <v>948</v>
      </c>
    </row>
    <row r="57" spans="1:22" x14ac:dyDescent="0.3">
      <c r="A57" s="600"/>
      <c r="B57" s="604" t="s">
        <v>823</v>
      </c>
      <c r="C57" s="604" t="s">
        <v>948</v>
      </c>
    </row>
    <row r="58" spans="1:22" s="12" customFormat="1" x14ac:dyDescent="0.3">
      <c r="A58" s="601">
        <v>9</v>
      </c>
      <c r="B58" s="607" t="s">
        <v>6</v>
      </c>
      <c r="C58" s="604" t="s">
        <v>824</v>
      </c>
      <c r="D58" s="596"/>
      <c r="E58" s="596"/>
      <c r="F58" s="596"/>
      <c r="G58" s="596"/>
      <c r="H58" s="596"/>
      <c r="I58" s="596"/>
      <c r="J58" s="596"/>
      <c r="K58" s="596"/>
      <c r="L58" s="596"/>
      <c r="M58" s="596"/>
      <c r="N58" s="596"/>
      <c r="O58" s="596"/>
      <c r="P58" s="596"/>
      <c r="Q58" s="596"/>
      <c r="R58" s="596"/>
      <c r="S58" s="596"/>
      <c r="T58" s="596"/>
      <c r="U58" s="596"/>
      <c r="V58" s="596"/>
    </row>
    <row r="59" spans="1:22" s="12" customFormat="1" ht="46.8" x14ac:dyDescent="0.3">
      <c r="A59" s="601">
        <v>10</v>
      </c>
      <c r="B59" s="608" t="s">
        <v>947</v>
      </c>
      <c r="C59" s="666" t="s">
        <v>811</v>
      </c>
      <c r="D59" s="596"/>
      <c r="E59" s="596"/>
      <c r="F59" s="596"/>
      <c r="G59" s="596"/>
      <c r="H59" s="596"/>
      <c r="I59" s="596"/>
      <c r="J59" s="596"/>
      <c r="K59" s="596"/>
      <c r="L59" s="596"/>
      <c r="M59" s="596"/>
      <c r="N59" s="596"/>
      <c r="O59" s="596"/>
      <c r="P59" s="596"/>
      <c r="Q59" s="596"/>
      <c r="R59" s="596"/>
      <c r="S59" s="596"/>
      <c r="T59" s="596"/>
      <c r="U59" s="596"/>
      <c r="V59" s="596"/>
    </row>
  </sheetData>
  <mergeCells count="5">
    <mergeCell ref="B5:C5"/>
    <mergeCell ref="A1:C1"/>
    <mergeCell ref="B46:C46"/>
    <mergeCell ref="B52:C52"/>
    <mergeCell ref="C44:C45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7DE9C-5903-499E-A592-387922B299BB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3C632-C1CF-45A5-9C7F-C14C804F99D1}">
  <dimension ref="A2:J186"/>
  <sheetViews>
    <sheetView topLeftCell="A88" zoomScaleNormal="100" workbookViewId="0">
      <selection activeCell="C110" sqref="C110"/>
    </sheetView>
  </sheetViews>
  <sheetFormatPr defaultRowHeight="14.4" x14ac:dyDescent="0.3"/>
  <cols>
    <col min="1" max="1" width="21.44140625" customWidth="1"/>
    <col min="2" max="3" width="13.5546875" customWidth="1"/>
    <col min="4" max="4" width="12.21875" customWidth="1"/>
    <col min="5" max="5" width="9.44140625" customWidth="1"/>
  </cols>
  <sheetData>
    <row r="2" spans="1:10" x14ac:dyDescent="0.3">
      <c r="A2" s="1115" t="str">
        <f>[1]Калькуляция!A10</f>
        <v>№п\п</v>
      </c>
      <c r="B2" s="1116"/>
      <c r="C2" s="1116"/>
      <c r="D2" s="257"/>
      <c r="E2" s="257"/>
      <c r="F2" s="257" t="s">
        <v>303</v>
      </c>
      <c r="G2" s="257"/>
      <c r="H2" s="257"/>
      <c r="I2" s="257"/>
    </row>
    <row r="3" spans="1:10" x14ac:dyDescent="0.3">
      <c r="A3" s="1117" t="s">
        <v>304</v>
      </c>
      <c r="B3" s="1117"/>
      <c r="C3" s="1118"/>
      <c r="D3" s="1118"/>
      <c r="E3" s="1118"/>
      <c r="F3" s="1118"/>
      <c r="G3" s="1118"/>
      <c r="H3" s="1118"/>
      <c r="I3" s="1118"/>
    </row>
    <row r="4" spans="1:10" ht="15" thickBot="1" x14ac:dyDescent="0.35">
      <c r="A4" s="1117" t="s">
        <v>305</v>
      </c>
      <c r="B4" s="1117"/>
      <c r="C4" s="1118"/>
      <c r="D4" s="1118"/>
      <c r="E4" s="1118"/>
      <c r="F4" s="1118"/>
      <c r="G4" s="1118"/>
      <c r="H4" s="1118"/>
      <c r="I4" s="1118"/>
    </row>
    <row r="5" spans="1:10" x14ac:dyDescent="0.3">
      <c r="A5" s="258"/>
      <c r="B5" s="1119" t="s">
        <v>306</v>
      </c>
      <c r="C5" s="1120"/>
      <c r="D5" s="1120"/>
      <c r="E5" s="1121"/>
      <c r="F5" s="1122" t="s">
        <v>307</v>
      </c>
      <c r="G5" s="1123"/>
      <c r="H5" s="1122" t="s">
        <v>219</v>
      </c>
      <c r="I5" s="1123"/>
    </row>
    <row r="6" spans="1:10" ht="66" x14ac:dyDescent="0.3">
      <c r="A6" s="259"/>
      <c r="B6" s="260" t="s">
        <v>308</v>
      </c>
      <c r="C6" s="261" t="s">
        <v>309</v>
      </c>
      <c r="D6" s="261" t="s">
        <v>310</v>
      </c>
      <c r="E6" s="262" t="s">
        <v>311</v>
      </c>
      <c r="F6" s="260" t="s">
        <v>312</v>
      </c>
      <c r="G6" s="262" t="s">
        <v>313</v>
      </c>
      <c r="H6" s="260" t="s">
        <v>312</v>
      </c>
      <c r="I6" s="262" t="s">
        <v>314</v>
      </c>
    </row>
    <row r="7" spans="1:10" x14ac:dyDescent="0.3">
      <c r="A7" s="263" t="s">
        <v>315</v>
      </c>
      <c r="B7" s="264">
        <f>I33</f>
        <v>2367.7550000000001</v>
      </c>
      <c r="C7" s="265">
        <f>прибирання!E43</f>
        <v>0.3</v>
      </c>
      <c r="D7" s="266">
        <f t="shared" ref="D7:D13" si="0">B7*C7</f>
        <v>710.32650000000001</v>
      </c>
      <c r="E7" s="267">
        <f t="shared" ref="E7:E13" si="1">D7/12</f>
        <v>59.193874999999998</v>
      </c>
      <c r="F7" s="667">
        <f>H113+I113+H114+H115</f>
        <v>370.84210000000002</v>
      </c>
      <c r="G7" s="268">
        <f t="shared" ref="G7:G13" si="2">F7/12</f>
        <v>30.903508333333335</v>
      </c>
      <c r="H7" s="264">
        <f t="shared" ref="H7:I13" si="3">D7+F7</f>
        <v>1081.1686</v>
      </c>
      <c r="I7" s="268">
        <f t="shared" si="3"/>
        <v>90.09738333333334</v>
      </c>
      <c r="J7" t="s">
        <v>934</v>
      </c>
    </row>
    <row r="8" spans="1:10" x14ac:dyDescent="0.3">
      <c r="A8" s="263" t="s">
        <v>316</v>
      </c>
      <c r="B8" s="269">
        <f>I33</f>
        <v>2367.7550000000001</v>
      </c>
      <c r="C8" s="270">
        <f>Сніг!E57</f>
        <v>0.05</v>
      </c>
      <c r="D8" s="46">
        <f t="shared" si="0"/>
        <v>118.38775000000001</v>
      </c>
      <c r="E8" s="271">
        <f t="shared" si="1"/>
        <v>9.8656458333333337</v>
      </c>
      <c r="F8" s="269">
        <v>0</v>
      </c>
      <c r="G8" s="272">
        <f t="shared" si="2"/>
        <v>0</v>
      </c>
      <c r="H8" s="269">
        <f t="shared" si="3"/>
        <v>118.38775000000001</v>
      </c>
      <c r="I8" s="272">
        <f t="shared" si="3"/>
        <v>9.8656458333333337</v>
      </c>
    </row>
    <row r="9" spans="1:10" ht="20.399999999999999" customHeight="1" x14ac:dyDescent="0.3">
      <c r="A9" s="273" t="s">
        <v>317</v>
      </c>
      <c r="B9" s="264">
        <f>I41</f>
        <v>560.64</v>
      </c>
      <c r="C9" s="265">
        <f>'[1]сходові клітки'!D82</f>
        <v>0</v>
      </c>
      <c r="D9" s="266">
        <f>B9*C9</f>
        <v>0</v>
      </c>
      <c r="E9" s="267">
        <f t="shared" si="1"/>
        <v>0</v>
      </c>
      <c r="F9" s="264">
        <f>I160</f>
        <v>0</v>
      </c>
      <c r="G9" s="268">
        <f t="shared" si="2"/>
        <v>0</v>
      </c>
      <c r="H9" s="264">
        <f>D9+F9</f>
        <v>0</v>
      </c>
      <c r="I9" s="268">
        <f t="shared" si="3"/>
        <v>0</v>
      </c>
    </row>
    <row r="10" spans="1:10" x14ac:dyDescent="0.3">
      <c r="A10" s="263" t="s">
        <v>318</v>
      </c>
      <c r="B10" s="264">
        <f>I59</f>
        <v>1391.3333333333335</v>
      </c>
      <c r="C10" s="665">
        <f>'ТО внутріньобудин'!F117</f>
        <v>6.9879478173607637E-2</v>
      </c>
      <c r="D10" s="266">
        <f t="shared" si="0"/>
        <v>97.225647298879437</v>
      </c>
      <c r="E10" s="267">
        <f t="shared" si="1"/>
        <v>8.1021372749066192</v>
      </c>
      <c r="F10" s="264">
        <f>[1]Расчет_7!G127</f>
        <v>0</v>
      </c>
      <c r="G10" s="268">
        <f t="shared" si="2"/>
        <v>0</v>
      </c>
      <c r="H10" s="264">
        <f t="shared" si="3"/>
        <v>97.225647298879437</v>
      </c>
      <c r="I10" s="268">
        <f t="shared" si="3"/>
        <v>8.1021372749066192</v>
      </c>
    </row>
    <row r="11" spans="1:10" x14ac:dyDescent="0.3">
      <c r="A11" s="263" t="s">
        <v>319</v>
      </c>
      <c r="B11" s="264">
        <f>I74</f>
        <v>1241.5366666666666</v>
      </c>
      <c r="C11" s="665">
        <f>'ТО внутріньобудин'!F118</f>
        <v>4.18941294530858E-2</v>
      </c>
      <c r="D11" s="266">
        <f t="shared" si="0"/>
        <v>52.013097834085968</v>
      </c>
      <c r="E11" s="267">
        <f t="shared" si="1"/>
        <v>4.3344248195071637</v>
      </c>
      <c r="F11" s="264">
        <f>I190</f>
        <v>0</v>
      </c>
      <c r="G11" s="268">
        <f t="shared" si="2"/>
        <v>0</v>
      </c>
      <c r="H11" s="264">
        <f t="shared" si="3"/>
        <v>52.013097834085968</v>
      </c>
      <c r="I11" s="268">
        <f t="shared" si="3"/>
        <v>4.3344248195071637</v>
      </c>
    </row>
    <row r="12" spans="1:10" ht="15" thickBot="1" x14ac:dyDescent="0.35">
      <c r="A12" s="274" t="s">
        <v>320</v>
      </c>
      <c r="B12" s="275">
        <f>I79</f>
        <v>644.66666666666663</v>
      </c>
      <c r="C12" s="653">
        <f>прибирання!E44</f>
        <v>1.0536879076768691E-2</v>
      </c>
      <c r="D12" s="276">
        <f t="shared" si="0"/>
        <v>6.7927747114902157</v>
      </c>
      <c r="E12" s="277">
        <f t="shared" si="1"/>
        <v>0.56606455929085131</v>
      </c>
      <c r="F12" s="278">
        <v>0</v>
      </c>
      <c r="G12" s="268">
        <f t="shared" si="2"/>
        <v>0</v>
      </c>
      <c r="H12" s="264">
        <f t="shared" si="3"/>
        <v>6.7927747114902157</v>
      </c>
      <c r="I12" s="268">
        <f t="shared" si="3"/>
        <v>0.56606455929085131</v>
      </c>
      <c r="J12" t="s">
        <v>934</v>
      </c>
    </row>
    <row r="13" spans="1:10" ht="15" thickBot="1" x14ac:dyDescent="0.35">
      <c r="A13" s="279" t="s">
        <v>199</v>
      </c>
      <c r="B13" s="265">
        <f>I88</f>
        <v>2077.1666666666665</v>
      </c>
      <c r="C13" s="668">
        <f>вентканали!E36</f>
        <v>1.2E-2</v>
      </c>
      <c r="D13" s="276">
        <f t="shared" si="0"/>
        <v>24.925999999999998</v>
      </c>
      <c r="E13" s="277">
        <f t="shared" si="1"/>
        <v>2.0771666666666664</v>
      </c>
      <c r="F13" s="280">
        <v>0</v>
      </c>
      <c r="G13" s="281">
        <f t="shared" si="2"/>
        <v>0</v>
      </c>
      <c r="H13" s="282">
        <f t="shared" si="3"/>
        <v>24.925999999999998</v>
      </c>
      <c r="I13" s="281">
        <f t="shared" si="3"/>
        <v>2.0771666666666664</v>
      </c>
    </row>
    <row r="14" spans="1:10" ht="15" thickBot="1" x14ac:dyDescent="0.35">
      <c r="A14" s="1124" t="s">
        <v>219</v>
      </c>
      <c r="B14" s="1125"/>
      <c r="C14" s="1126"/>
      <c r="D14" s="283">
        <f>SUM(D7:D12)</f>
        <v>984.74576984445571</v>
      </c>
      <c r="E14" s="284">
        <f>SUM(E7:E12)</f>
        <v>82.062147487037976</v>
      </c>
      <c r="F14" s="285">
        <f>SUM(F7:F13)</f>
        <v>370.84210000000002</v>
      </c>
      <c r="G14" s="286">
        <f>SUM(G7:G13)</f>
        <v>30.903508333333335</v>
      </c>
      <c r="H14" s="287">
        <f>SUM(H7:H13)</f>
        <v>1380.5138698444557</v>
      </c>
      <c r="I14" s="286">
        <f>SUM(I7:I13)</f>
        <v>115.04282248703798</v>
      </c>
    </row>
    <row r="15" spans="1:10" x14ac:dyDescent="0.3">
      <c r="A15" s="1081" t="s">
        <v>321</v>
      </c>
      <c r="B15" s="1127"/>
      <c r="C15" s="1128"/>
      <c r="D15" s="288"/>
      <c r="E15" s="288"/>
      <c r="F15" s="289"/>
      <c r="G15" s="288"/>
      <c r="H15" s="289"/>
      <c r="I15" s="138"/>
    </row>
    <row r="16" spans="1:10" x14ac:dyDescent="0.3">
      <c r="A16" s="1129" t="s">
        <v>322</v>
      </c>
      <c r="B16" s="1130"/>
      <c r="C16" s="1131"/>
      <c r="D16" s="288"/>
      <c r="E16" s="288"/>
      <c r="F16" s="289"/>
      <c r="G16" s="288"/>
      <c r="H16" s="289"/>
      <c r="I16" s="138"/>
    </row>
    <row r="17" spans="1:9" ht="15" thickBot="1" x14ac:dyDescent="0.35">
      <c r="A17" s="1132" t="s">
        <v>323</v>
      </c>
      <c r="B17" s="1132"/>
      <c r="C17" s="1133"/>
      <c r="D17" s="1133"/>
      <c r="E17" s="1133"/>
      <c r="F17" s="1133"/>
      <c r="G17" s="1133"/>
      <c r="H17" s="1133"/>
      <c r="I17" s="1133"/>
    </row>
    <row r="18" spans="1:9" ht="66.599999999999994" thickBot="1" x14ac:dyDescent="0.35">
      <c r="A18" s="290" t="s">
        <v>324</v>
      </c>
      <c r="B18" s="1099" t="s">
        <v>325</v>
      </c>
      <c r="C18" s="1134"/>
      <c r="D18" s="290" t="s">
        <v>326</v>
      </c>
      <c r="E18" s="290" t="s">
        <v>327</v>
      </c>
      <c r="F18" s="290" t="s">
        <v>328</v>
      </c>
      <c r="G18" s="290" t="s">
        <v>329</v>
      </c>
      <c r="H18" s="291" t="s">
        <v>330</v>
      </c>
      <c r="I18" s="290" t="s">
        <v>331</v>
      </c>
    </row>
    <row r="19" spans="1:9" x14ac:dyDescent="0.3">
      <c r="A19" s="1092" t="s">
        <v>194</v>
      </c>
      <c r="B19" s="1104" t="s">
        <v>332</v>
      </c>
      <c r="C19" s="1105"/>
      <c r="D19" s="292">
        <v>12</v>
      </c>
      <c r="E19" s="292" t="s">
        <v>165</v>
      </c>
      <c r="F19" s="293">
        <v>33</v>
      </c>
      <c r="G19" s="292">
        <v>12</v>
      </c>
      <c r="H19" s="293">
        <f t="shared" ref="H19:H32" si="4">12/G19*D19</f>
        <v>12</v>
      </c>
      <c r="I19" s="294">
        <f t="shared" ref="I19:I32" si="5">F19*H19</f>
        <v>396</v>
      </c>
    </row>
    <row r="20" spans="1:9" x14ac:dyDescent="0.3">
      <c r="A20" s="1092"/>
      <c r="B20" s="1085" t="s">
        <v>334</v>
      </c>
      <c r="C20" s="1086"/>
      <c r="D20" s="295">
        <v>1</v>
      </c>
      <c r="E20" s="295" t="s">
        <v>165</v>
      </c>
      <c r="F20" s="270">
        <v>105</v>
      </c>
      <c r="G20" s="295">
        <v>12</v>
      </c>
      <c r="H20" s="270">
        <f t="shared" si="4"/>
        <v>1</v>
      </c>
      <c r="I20" s="272">
        <f t="shared" si="5"/>
        <v>105</v>
      </c>
    </row>
    <row r="21" spans="1:9" x14ac:dyDescent="0.3">
      <c r="A21" s="1092"/>
      <c r="B21" s="1085" t="s">
        <v>335</v>
      </c>
      <c r="C21" s="1086"/>
      <c r="D21" s="295">
        <v>1</v>
      </c>
      <c r="E21" s="295" t="s">
        <v>165</v>
      </c>
      <c r="F21" s="270">
        <v>50</v>
      </c>
      <c r="G21" s="295">
        <v>12</v>
      </c>
      <c r="H21" s="270">
        <f t="shared" si="4"/>
        <v>1</v>
      </c>
      <c r="I21" s="272">
        <f t="shared" si="5"/>
        <v>50</v>
      </c>
    </row>
    <row r="22" spans="1:9" x14ac:dyDescent="0.3">
      <c r="A22" s="1092"/>
      <c r="B22" s="1085" t="s">
        <v>336</v>
      </c>
      <c r="C22" s="1086"/>
      <c r="D22" s="295">
        <v>1</v>
      </c>
      <c r="E22" s="295" t="s">
        <v>165</v>
      </c>
      <c r="F22" s="270">
        <v>90</v>
      </c>
      <c r="G22" s="295">
        <v>12</v>
      </c>
      <c r="H22" s="270">
        <f t="shared" si="4"/>
        <v>1</v>
      </c>
      <c r="I22" s="272">
        <f t="shared" si="5"/>
        <v>90</v>
      </c>
    </row>
    <row r="23" spans="1:9" x14ac:dyDescent="0.3">
      <c r="A23" s="1092"/>
      <c r="B23" s="1085" t="s">
        <v>337</v>
      </c>
      <c r="C23" s="1086"/>
      <c r="D23" s="295">
        <v>12</v>
      </c>
      <c r="E23" s="295" t="s">
        <v>165</v>
      </c>
      <c r="F23" s="270">
        <v>70</v>
      </c>
      <c r="G23" s="295">
        <v>12</v>
      </c>
      <c r="H23" s="270">
        <f t="shared" si="4"/>
        <v>12</v>
      </c>
      <c r="I23" s="272">
        <f t="shared" si="5"/>
        <v>840</v>
      </c>
    </row>
    <row r="24" spans="1:9" x14ac:dyDescent="0.3">
      <c r="A24" s="1092"/>
      <c r="B24" s="1085" t="s">
        <v>480</v>
      </c>
      <c r="C24" s="1086"/>
      <c r="D24" s="296">
        <v>1</v>
      </c>
      <c r="E24" s="295" t="s">
        <v>165</v>
      </c>
      <c r="F24" s="297">
        <v>75</v>
      </c>
      <c r="G24" s="296">
        <v>36</v>
      </c>
      <c r="H24" s="270">
        <f t="shared" si="4"/>
        <v>0.33333333333333331</v>
      </c>
      <c r="I24" s="298">
        <f t="shared" si="5"/>
        <v>25</v>
      </c>
    </row>
    <row r="25" spans="1:9" x14ac:dyDescent="0.3">
      <c r="A25" s="1092"/>
      <c r="B25" s="1085" t="s">
        <v>767</v>
      </c>
      <c r="C25" s="1086"/>
      <c r="D25" s="295">
        <v>1</v>
      </c>
      <c r="E25" s="295" t="s">
        <v>339</v>
      </c>
      <c r="F25" s="270">
        <v>6.02</v>
      </c>
      <c r="G25" s="296">
        <v>1</v>
      </c>
      <c r="H25" s="270">
        <f t="shared" si="4"/>
        <v>12</v>
      </c>
      <c r="I25" s="272">
        <f t="shared" si="5"/>
        <v>72.239999999999995</v>
      </c>
    </row>
    <row r="26" spans="1:9" x14ac:dyDescent="0.3">
      <c r="A26" s="1092"/>
      <c r="B26" s="1085" t="s">
        <v>340</v>
      </c>
      <c r="C26" s="1086"/>
      <c r="D26" s="295">
        <v>1</v>
      </c>
      <c r="E26" s="295" t="s">
        <v>339</v>
      </c>
      <c r="F26" s="270">
        <v>13</v>
      </c>
      <c r="G26" s="296">
        <v>6</v>
      </c>
      <c r="H26" s="270">
        <f t="shared" si="4"/>
        <v>2</v>
      </c>
      <c r="I26" s="272">
        <f t="shared" si="5"/>
        <v>26</v>
      </c>
    </row>
    <row r="27" spans="1:9" x14ac:dyDescent="0.3">
      <c r="A27" s="1092"/>
      <c r="B27" s="1085" t="s">
        <v>341</v>
      </c>
      <c r="C27" s="1086"/>
      <c r="D27" s="295">
        <v>1</v>
      </c>
      <c r="E27" s="295" t="s">
        <v>165</v>
      </c>
      <c r="F27" s="270">
        <v>287.48</v>
      </c>
      <c r="G27" s="296">
        <v>12</v>
      </c>
      <c r="H27" s="270">
        <f t="shared" si="4"/>
        <v>1</v>
      </c>
      <c r="I27" s="272">
        <f t="shared" si="5"/>
        <v>287.48</v>
      </c>
    </row>
    <row r="28" spans="1:9" x14ac:dyDescent="0.3">
      <c r="A28" s="1092"/>
      <c r="B28" s="1085" t="s">
        <v>481</v>
      </c>
      <c r="C28" s="1086"/>
      <c r="D28" s="295">
        <v>1</v>
      </c>
      <c r="E28" s="295" t="s">
        <v>339</v>
      </c>
      <c r="F28" s="270">
        <v>157.72</v>
      </c>
      <c r="G28" s="296">
        <v>12</v>
      </c>
      <c r="H28" s="270">
        <f t="shared" si="4"/>
        <v>1</v>
      </c>
      <c r="I28" s="272">
        <f t="shared" si="5"/>
        <v>157.72</v>
      </c>
    </row>
    <row r="29" spans="1:9" x14ac:dyDescent="0.3">
      <c r="A29" s="1092"/>
      <c r="B29" s="1085" t="s">
        <v>342</v>
      </c>
      <c r="C29" s="1086"/>
      <c r="D29" s="295">
        <v>1</v>
      </c>
      <c r="E29" s="295" t="s">
        <v>165</v>
      </c>
      <c r="F29" s="270">
        <v>105</v>
      </c>
      <c r="G29" s="296">
        <v>12</v>
      </c>
      <c r="H29" s="270">
        <f t="shared" si="4"/>
        <v>1</v>
      </c>
      <c r="I29" s="272">
        <f t="shared" si="5"/>
        <v>105</v>
      </c>
    </row>
    <row r="30" spans="1:9" x14ac:dyDescent="0.3">
      <c r="A30" s="1092"/>
      <c r="B30" s="1085" t="s">
        <v>343</v>
      </c>
      <c r="C30" s="1086"/>
      <c r="D30" s="295">
        <v>1</v>
      </c>
      <c r="E30" s="295" t="s">
        <v>165</v>
      </c>
      <c r="F30" s="270">
        <v>30.8</v>
      </c>
      <c r="G30" s="296">
        <v>12</v>
      </c>
      <c r="H30" s="270">
        <f t="shared" si="4"/>
        <v>1</v>
      </c>
      <c r="I30" s="272">
        <f t="shared" si="5"/>
        <v>30.8</v>
      </c>
    </row>
    <row r="31" spans="1:9" x14ac:dyDescent="0.3">
      <c r="A31" s="1092"/>
      <c r="B31" s="1085" t="s">
        <v>482</v>
      </c>
      <c r="C31" s="1086"/>
      <c r="D31" s="362">
        <v>1</v>
      </c>
      <c r="E31" s="362" t="s">
        <v>165</v>
      </c>
      <c r="F31" s="363">
        <v>5.87</v>
      </c>
      <c r="G31" s="364">
        <v>1</v>
      </c>
      <c r="H31" s="363">
        <f t="shared" si="4"/>
        <v>12</v>
      </c>
      <c r="I31" s="365">
        <f t="shared" si="5"/>
        <v>70.44</v>
      </c>
    </row>
    <row r="32" spans="1:9" ht="15" thickBot="1" x14ac:dyDescent="0.35">
      <c r="A32" s="1092"/>
      <c r="B32" s="1108" t="s">
        <v>344</v>
      </c>
      <c r="C32" s="1109"/>
      <c r="D32" s="299">
        <v>1</v>
      </c>
      <c r="E32" s="299" t="s">
        <v>165</v>
      </c>
      <c r="F32" s="300">
        <v>224.15</v>
      </c>
      <c r="G32" s="301">
        <v>24</v>
      </c>
      <c r="H32" s="300">
        <f t="shared" si="4"/>
        <v>0.5</v>
      </c>
      <c r="I32" s="302">
        <f t="shared" si="5"/>
        <v>112.075</v>
      </c>
    </row>
    <row r="33" spans="1:9" ht="15" thickBot="1" x14ac:dyDescent="0.35">
      <c r="A33" s="1114"/>
      <c r="B33" s="1111" t="s">
        <v>345</v>
      </c>
      <c r="C33" s="1112"/>
      <c r="D33" s="1112"/>
      <c r="E33" s="1112"/>
      <c r="F33" s="1112"/>
      <c r="G33" s="1112"/>
      <c r="H33" s="1113"/>
      <c r="I33" s="303">
        <f>SUM(I19:I32)</f>
        <v>2367.7550000000001</v>
      </c>
    </row>
    <row r="34" spans="1:9" x14ac:dyDescent="0.3">
      <c r="A34" s="1091" t="s">
        <v>346</v>
      </c>
      <c r="B34" s="1104" t="s">
        <v>335</v>
      </c>
      <c r="C34" s="1105"/>
      <c r="D34" s="292">
        <v>1</v>
      </c>
      <c r="E34" s="292" t="s">
        <v>165</v>
      </c>
      <c r="F34" s="293">
        <v>50</v>
      </c>
      <c r="G34" s="292">
        <v>12</v>
      </c>
      <c r="H34" s="293">
        <f t="shared" ref="H34:H40" si="6">12/G34*D34</f>
        <v>1</v>
      </c>
      <c r="I34" s="294">
        <f t="shared" ref="I34:I40" si="7">F34*H34</f>
        <v>50</v>
      </c>
    </row>
    <row r="35" spans="1:9" x14ac:dyDescent="0.3">
      <c r="A35" s="1092"/>
      <c r="B35" s="1085" t="s">
        <v>347</v>
      </c>
      <c r="C35" s="1086"/>
      <c r="D35" s="295">
        <v>1</v>
      </c>
      <c r="E35" s="295" t="s">
        <v>165</v>
      </c>
      <c r="F35" s="270">
        <v>56</v>
      </c>
      <c r="G35" s="295">
        <v>12</v>
      </c>
      <c r="H35" s="270">
        <f t="shared" si="6"/>
        <v>1</v>
      </c>
      <c r="I35" s="272">
        <f t="shared" si="7"/>
        <v>56</v>
      </c>
    </row>
    <row r="36" spans="1:9" x14ac:dyDescent="0.3">
      <c r="A36" s="1092"/>
      <c r="B36" s="1085" t="s">
        <v>333</v>
      </c>
      <c r="C36" s="1086"/>
      <c r="D36" s="295">
        <v>1</v>
      </c>
      <c r="E36" s="295" t="s">
        <v>165</v>
      </c>
      <c r="F36" s="270">
        <v>55</v>
      </c>
      <c r="G36" s="295">
        <v>12</v>
      </c>
      <c r="H36" s="270">
        <f t="shared" si="6"/>
        <v>1</v>
      </c>
      <c r="I36" s="272">
        <f t="shared" si="7"/>
        <v>55</v>
      </c>
    </row>
    <row r="37" spans="1:9" ht="15" thickBot="1" x14ac:dyDescent="0.35">
      <c r="A37" s="1092"/>
      <c r="B37" s="1108" t="s">
        <v>332</v>
      </c>
      <c r="C37" s="1109"/>
      <c r="D37" s="299">
        <v>1</v>
      </c>
      <c r="E37" s="299" t="s">
        <v>165</v>
      </c>
      <c r="F37" s="300">
        <v>33</v>
      </c>
      <c r="G37" s="299">
        <v>12</v>
      </c>
      <c r="H37" s="300">
        <f t="shared" si="6"/>
        <v>1</v>
      </c>
      <c r="I37" s="302">
        <f t="shared" si="7"/>
        <v>33</v>
      </c>
    </row>
    <row r="38" spans="1:9" x14ac:dyDescent="0.3">
      <c r="A38" s="1092"/>
      <c r="B38" s="1104" t="s">
        <v>348</v>
      </c>
      <c r="C38" s="1105"/>
      <c r="D38" s="292">
        <v>1</v>
      </c>
      <c r="E38" s="292" t="s">
        <v>165</v>
      </c>
      <c r="F38" s="293">
        <v>169.92</v>
      </c>
      <c r="G38" s="292">
        <v>12</v>
      </c>
      <c r="H38" s="293">
        <f t="shared" si="6"/>
        <v>1</v>
      </c>
      <c r="I38" s="294">
        <f t="shared" si="7"/>
        <v>169.92</v>
      </c>
    </row>
    <row r="39" spans="1:9" x14ac:dyDescent="0.3">
      <c r="A39" s="1092"/>
      <c r="B39" s="1085" t="s">
        <v>349</v>
      </c>
      <c r="C39" s="1086"/>
      <c r="D39" s="296">
        <v>1</v>
      </c>
      <c r="E39" s="296" t="s">
        <v>165</v>
      </c>
      <c r="F39" s="297">
        <v>157.72</v>
      </c>
      <c r="G39" s="296">
        <v>12</v>
      </c>
      <c r="H39" s="270">
        <f t="shared" si="6"/>
        <v>1</v>
      </c>
      <c r="I39" s="272">
        <f t="shared" si="7"/>
        <v>157.72</v>
      </c>
    </row>
    <row r="40" spans="1:9" ht="15" thickBot="1" x14ac:dyDescent="0.35">
      <c r="A40" s="1092"/>
      <c r="B40" s="1108" t="s">
        <v>340</v>
      </c>
      <c r="C40" s="1109"/>
      <c r="D40" s="299">
        <v>1</v>
      </c>
      <c r="E40" s="299" t="s">
        <v>165</v>
      </c>
      <c r="F40" s="300">
        <v>13</v>
      </c>
      <c r="G40" s="299">
        <v>4</v>
      </c>
      <c r="H40" s="300">
        <f t="shared" si="6"/>
        <v>3</v>
      </c>
      <c r="I40" s="587">
        <f t="shared" si="7"/>
        <v>39</v>
      </c>
    </row>
    <row r="41" spans="1:9" ht="15" thickBot="1" x14ac:dyDescent="0.35">
      <c r="A41" s="1114"/>
      <c r="B41" s="1110" t="s">
        <v>345</v>
      </c>
      <c r="C41" s="1097"/>
      <c r="D41" s="1097"/>
      <c r="E41" s="1097"/>
      <c r="F41" s="1097"/>
      <c r="G41" s="1097"/>
      <c r="H41" s="1098"/>
      <c r="I41" s="588">
        <f>SUM(I34:I40)</f>
        <v>560.64</v>
      </c>
    </row>
    <row r="42" spans="1:9" ht="66.599999999999994" thickBot="1" x14ac:dyDescent="0.35">
      <c r="A42" s="290" t="s">
        <v>324</v>
      </c>
      <c r="B42" s="1099" t="s">
        <v>325</v>
      </c>
      <c r="C42" s="1100"/>
      <c r="D42" s="290" t="s">
        <v>326</v>
      </c>
      <c r="E42" s="290" t="s">
        <v>327</v>
      </c>
      <c r="F42" s="290" t="s">
        <v>328</v>
      </c>
      <c r="G42" s="290" t="s">
        <v>329</v>
      </c>
      <c r="H42" s="291" t="s">
        <v>330</v>
      </c>
      <c r="I42" s="290" t="s">
        <v>331</v>
      </c>
    </row>
    <row r="43" spans="1:9" x14ac:dyDescent="0.3">
      <c r="A43" s="1101" t="s">
        <v>197</v>
      </c>
      <c r="B43" s="1104" t="s">
        <v>350</v>
      </c>
      <c r="C43" s="1105"/>
      <c r="D43" s="292">
        <v>1</v>
      </c>
      <c r="E43" s="292" t="s">
        <v>165</v>
      </c>
      <c r="F43" s="293">
        <v>148</v>
      </c>
      <c r="G43" s="292">
        <v>36</v>
      </c>
      <c r="H43" s="293">
        <f t="shared" ref="H43:H58" si="8">12/G43*D43</f>
        <v>0.33333333333333331</v>
      </c>
      <c r="I43" s="294">
        <f t="shared" ref="I43:I58" si="9">F43*H43</f>
        <v>49.333333333333329</v>
      </c>
    </row>
    <row r="44" spans="1:9" x14ac:dyDescent="0.3">
      <c r="A44" s="1102"/>
      <c r="B44" s="1085" t="s">
        <v>351</v>
      </c>
      <c r="C44" s="1086"/>
      <c r="D44" s="295">
        <v>1</v>
      </c>
      <c r="E44" s="295" t="s">
        <v>165</v>
      </c>
      <c r="F44" s="270">
        <v>158</v>
      </c>
      <c r="G44" s="295">
        <v>36</v>
      </c>
      <c r="H44" s="270">
        <f t="shared" si="8"/>
        <v>0.33333333333333331</v>
      </c>
      <c r="I44" s="298">
        <f t="shared" si="9"/>
        <v>52.666666666666664</v>
      </c>
    </row>
    <row r="45" spans="1:9" x14ac:dyDescent="0.3">
      <c r="A45" s="1102"/>
      <c r="B45" s="1085" t="s">
        <v>352</v>
      </c>
      <c r="C45" s="1086"/>
      <c r="D45" s="295">
        <v>1</v>
      </c>
      <c r="E45" s="295" t="s">
        <v>165</v>
      </c>
      <c r="F45" s="270">
        <v>200</v>
      </c>
      <c r="G45" s="295">
        <v>36</v>
      </c>
      <c r="H45" s="270">
        <f t="shared" si="8"/>
        <v>0.33333333333333331</v>
      </c>
      <c r="I45" s="298">
        <f t="shared" si="9"/>
        <v>66.666666666666657</v>
      </c>
    </row>
    <row r="46" spans="1:9" ht="21.6" customHeight="1" x14ac:dyDescent="0.3">
      <c r="A46" s="1102"/>
      <c r="B46" s="1106" t="s">
        <v>353</v>
      </c>
      <c r="C46" s="1107"/>
      <c r="D46" s="295">
        <v>1</v>
      </c>
      <c r="E46" s="295" t="s">
        <v>165</v>
      </c>
      <c r="F46" s="270">
        <v>250</v>
      </c>
      <c r="G46" s="295">
        <v>36</v>
      </c>
      <c r="H46" s="270">
        <f t="shared" si="8"/>
        <v>0.33333333333333331</v>
      </c>
      <c r="I46" s="298">
        <f t="shared" si="9"/>
        <v>83.333333333333329</v>
      </c>
    </row>
    <row r="47" spans="1:9" x14ac:dyDescent="0.3">
      <c r="A47" s="1102"/>
      <c r="B47" s="1085" t="s">
        <v>354</v>
      </c>
      <c r="C47" s="1086"/>
      <c r="D47" s="295">
        <v>1</v>
      </c>
      <c r="E47" s="295" t="s">
        <v>165</v>
      </c>
      <c r="F47" s="270">
        <v>57</v>
      </c>
      <c r="G47" s="295">
        <v>36</v>
      </c>
      <c r="H47" s="270">
        <f t="shared" si="8"/>
        <v>0.33333333333333331</v>
      </c>
      <c r="I47" s="298">
        <f t="shared" si="9"/>
        <v>19</v>
      </c>
    </row>
    <row r="48" spans="1:9" x14ac:dyDescent="0.3">
      <c r="A48" s="1102"/>
      <c r="B48" s="1085" t="s">
        <v>355</v>
      </c>
      <c r="C48" s="1086"/>
      <c r="D48" s="295">
        <v>1</v>
      </c>
      <c r="E48" s="295" t="s">
        <v>165</v>
      </c>
      <c r="F48" s="270">
        <v>39</v>
      </c>
      <c r="G48" s="295">
        <v>36</v>
      </c>
      <c r="H48" s="270">
        <f t="shared" si="8"/>
        <v>0.33333333333333331</v>
      </c>
      <c r="I48" s="298">
        <f t="shared" si="9"/>
        <v>13</v>
      </c>
    </row>
    <row r="49" spans="1:9" x14ac:dyDescent="0.3">
      <c r="A49" s="1102"/>
      <c r="B49" s="1085" t="s">
        <v>356</v>
      </c>
      <c r="C49" s="1086"/>
      <c r="D49" s="295">
        <v>1</v>
      </c>
      <c r="E49" s="295" t="s">
        <v>165</v>
      </c>
      <c r="F49" s="270">
        <v>95</v>
      </c>
      <c r="G49" s="295">
        <v>36</v>
      </c>
      <c r="H49" s="270">
        <f t="shared" si="8"/>
        <v>0.33333333333333331</v>
      </c>
      <c r="I49" s="298">
        <f t="shared" si="9"/>
        <v>31.666666666666664</v>
      </c>
    </row>
    <row r="50" spans="1:9" x14ac:dyDescent="0.3">
      <c r="A50" s="1102"/>
      <c r="B50" s="1085" t="s">
        <v>357</v>
      </c>
      <c r="C50" s="1086"/>
      <c r="D50" s="295">
        <v>1</v>
      </c>
      <c r="E50" s="295" t="s">
        <v>165</v>
      </c>
      <c r="F50" s="270">
        <v>37</v>
      </c>
      <c r="G50" s="295">
        <v>36</v>
      </c>
      <c r="H50" s="270">
        <f t="shared" si="8"/>
        <v>0.33333333333333331</v>
      </c>
      <c r="I50" s="298">
        <f t="shared" si="9"/>
        <v>12.333333333333332</v>
      </c>
    </row>
    <row r="51" spans="1:9" ht="15" thickBot="1" x14ac:dyDescent="0.35">
      <c r="A51" s="1102"/>
      <c r="B51" s="1108" t="s">
        <v>358</v>
      </c>
      <c r="C51" s="1109"/>
      <c r="D51" s="299">
        <v>1</v>
      </c>
      <c r="E51" s="299" t="s">
        <v>165</v>
      </c>
      <c r="F51" s="300">
        <v>65</v>
      </c>
      <c r="G51" s="299">
        <v>36</v>
      </c>
      <c r="H51" s="300">
        <f t="shared" si="8"/>
        <v>0.33333333333333331</v>
      </c>
      <c r="I51" s="587">
        <f t="shared" si="9"/>
        <v>21.666666666666664</v>
      </c>
    </row>
    <row r="52" spans="1:9" x14ac:dyDescent="0.3">
      <c r="A52" s="1102"/>
      <c r="B52" s="1104" t="s">
        <v>359</v>
      </c>
      <c r="C52" s="1105"/>
      <c r="D52" s="296">
        <v>1</v>
      </c>
      <c r="E52" s="296" t="s">
        <v>165</v>
      </c>
      <c r="F52" s="297">
        <v>410</v>
      </c>
      <c r="G52" s="296">
        <v>12</v>
      </c>
      <c r="H52" s="297">
        <f t="shared" si="8"/>
        <v>1</v>
      </c>
      <c r="I52" s="298">
        <f t="shared" si="9"/>
        <v>410</v>
      </c>
    </row>
    <row r="53" spans="1:9" x14ac:dyDescent="0.3">
      <c r="A53" s="1102"/>
      <c r="B53" s="1085" t="s">
        <v>349</v>
      </c>
      <c r="C53" s="1086"/>
      <c r="D53" s="295">
        <v>1</v>
      </c>
      <c r="E53" s="295" t="s">
        <v>339</v>
      </c>
      <c r="F53" s="270">
        <v>160</v>
      </c>
      <c r="G53" s="295">
        <v>12</v>
      </c>
      <c r="H53" s="270">
        <f t="shared" si="8"/>
        <v>1</v>
      </c>
      <c r="I53" s="298">
        <f t="shared" si="9"/>
        <v>160</v>
      </c>
    </row>
    <row r="54" spans="1:9" x14ac:dyDescent="0.3">
      <c r="A54" s="1102"/>
      <c r="B54" s="1085" t="s">
        <v>338</v>
      </c>
      <c r="C54" s="1086"/>
      <c r="D54" s="295">
        <v>1</v>
      </c>
      <c r="E54" s="295" t="s">
        <v>339</v>
      </c>
      <c r="F54" s="270">
        <v>12</v>
      </c>
      <c r="G54" s="295">
        <v>2</v>
      </c>
      <c r="H54" s="270">
        <f t="shared" si="8"/>
        <v>6</v>
      </c>
      <c r="I54" s="298">
        <f t="shared" si="9"/>
        <v>72</v>
      </c>
    </row>
    <row r="55" spans="1:9" x14ac:dyDescent="0.3">
      <c r="A55" s="1102"/>
      <c r="B55" s="1085" t="s">
        <v>360</v>
      </c>
      <c r="C55" s="1086"/>
      <c r="D55" s="295">
        <v>1</v>
      </c>
      <c r="E55" s="295" t="s">
        <v>165</v>
      </c>
      <c r="F55" s="270">
        <v>30</v>
      </c>
      <c r="G55" s="295">
        <v>12</v>
      </c>
      <c r="H55" s="270">
        <f t="shared" si="8"/>
        <v>1</v>
      </c>
      <c r="I55" s="298">
        <f t="shared" si="9"/>
        <v>30</v>
      </c>
    </row>
    <row r="56" spans="1:9" x14ac:dyDescent="0.3">
      <c r="A56" s="1102"/>
      <c r="B56" s="1085" t="s">
        <v>361</v>
      </c>
      <c r="C56" s="1086"/>
      <c r="D56" s="295">
        <v>1</v>
      </c>
      <c r="E56" s="295" t="s">
        <v>339</v>
      </c>
      <c r="F56" s="270">
        <v>340</v>
      </c>
      <c r="G56" s="295">
        <v>24</v>
      </c>
      <c r="H56" s="270">
        <f t="shared" si="8"/>
        <v>0.5</v>
      </c>
      <c r="I56" s="298">
        <f t="shared" si="9"/>
        <v>170</v>
      </c>
    </row>
    <row r="57" spans="1:9" x14ac:dyDescent="0.3">
      <c r="A57" s="1102"/>
      <c r="B57" s="1085" t="s">
        <v>362</v>
      </c>
      <c r="C57" s="1086"/>
      <c r="D57" s="295">
        <v>1</v>
      </c>
      <c r="E57" s="295" t="s">
        <v>165</v>
      </c>
      <c r="F57" s="270">
        <v>320</v>
      </c>
      <c r="G57" s="295">
        <v>36</v>
      </c>
      <c r="H57" s="270">
        <f t="shared" si="8"/>
        <v>0.33333333333333331</v>
      </c>
      <c r="I57" s="298">
        <f t="shared" si="9"/>
        <v>106.66666666666666</v>
      </c>
    </row>
    <row r="58" spans="1:9" ht="15" thickBot="1" x14ac:dyDescent="0.35">
      <c r="A58" s="1102"/>
      <c r="B58" s="1087" t="s">
        <v>363</v>
      </c>
      <c r="C58" s="1088"/>
      <c r="D58" s="364">
        <v>1</v>
      </c>
      <c r="E58" s="364" t="s">
        <v>165</v>
      </c>
      <c r="F58" s="589">
        <v>279</v>
      </c>
      <c r="G58" s="364">
        <v>36</v>
      </c>
      <c r="H58" s="363">
        <f t="shared" si="8"/>
        <v>0.33333333333333331</v>
      </c>
      <c r="I58" s="298">
        <f t="shared" si="9"/>
        <v>93</v>
      </c>
    </row>
    <row r="59" spans="1:9" ht="15" thickBot="1" x14ac:dyDescent="0.35">
      <c r="A59" s="1103"/>
      <c r="B59" s="1110" t="s">
        <v>345</v>
      </c>
      <c r="C59" s="1097"/>
      <c r="D59" s="1097"/>
      <c r="E59" s="1097"/>
      <c r="F59" s="1097"/>
      <c r="G59" s="1097"/>
      <c r="H59" s="1098"/>
      <c r="I59" s="590">
        <f>SUM(I43:I58)</f>
        <v>1391.3333333333335</v>
      </c>
    </row>
    <row r="60" spans="1:9" x14ac:dyDescent="0.3">
      <c r="A60" s="1091" t="s">
        <v>319</v>
      </c>
      <c r="B60" s="1094" t="s">
        <v>364</v>
      </c>
      <c r="C60" s="1095"/>
      <c r="D60" s="632">
        <v>1</v>
      </c>
      <c r="E60" s="632" t="s">
        <v>165</v>
      </c>
      <c r="F60" s="633">
        <v>45.61</v>
      </c>
      <c r="G60" s="632">
        <v>36</v>
      </c>
      <c r="H60" s="633">
        <f t="shared" ref="H60:H73" si="10">12/G60*D60</f>
        <v>0.33333333333333331</v>
      </c>
      <c r="I60" s="634">
        <f t="shared" ref="I60:I73" si="11">F60*H60</f>
        <v>15.203333333333333</v>
      </c>
    </row>
    <row r="61" spans="1:9" x14ac:dyDescent="0.3">
      <c r="A61" s="1092"/>
      <c r="B61" s="1084" t="s">
        <v>365</v>
      </c>
      <c r="C61" s="1075"/>
      <c r="D61" s="635">
        <v>1</v>
      </c>
      <c r="E61" s="635" t="s">
        <v>165</v>
      </c>
      <c r="F61" s="636">
        <v>185</v>
      </c>
      <c r="G61" s="635">
        <v>36</v>
      </c>
      <c r="H61" s="636">
        <f t="shared" si="10"/>
        <v>0.33333333333333331</v>
      </c>
      <c r="I61" s="637">
        <f t="shared" si="11"/>
        <v>61.666666666666664</v>
      </c>
    </row>
    <row r="62" spans="1:9" x14ac:dyDescent="0.3">
      <c r="A62" s="1092"/>
      <c r="B62" s="1084" t="s">
        <v>366</v>
      </c>
      <c r="C62" s="1075"/>
      <c r="D62" s="635">
        <v>1</v>
      </c>
      <c r="E62" s="635" t="s">
        <v>165</v>
      </c>
      <c r="F62" s="636">
        <v>89</v>
      </c>
      <c r="G62" s="635">
        <v>36</v>
      </c>
      <c r="H62" s="636">
        <f t="shared" si="10"/>
        <v>0.33333333333333331</v>
      </c>
      <c r="I62" s="637">
        <f t="shared" si="11"/>
        <v>29.666666666666664</v>
      </c>
    </row>
    <row r="63" spans="1:9" x14ac:dyDescent="0.3">
      <c r="A63" s="1092"/>
      <c r="B63" s="1084" t="s">
        <v>367</v>
      </c>
      <c r="C63" s="1075"/>
      <c r="D63" s="635">
        <v>1</v>
      </c>
      <c r="E63" s="635" t="s">
        <v>165</v>
      </c>
      <c r="F63" s="636">
        <v>50</v>
      </c>
      <c r="G63" s="635">
        <v>36</v>
      </c>
      <c r="H63" s="636">
        <f t="shared" si="10"/>
        <v>0.33333333333333331</v>
      </c>
      <c r="I63" s="637">
        <f t="shared" si="11"/>
        <v>16.666666666666664</v>
      </c>
    </row>
    <row r="64" spans="1:9" x14ac:dyDescent="0.3">
      <c r="A64" s="1092"/>
      <c r="B64" s="1084" t="s">
        <v>368</v>
      </c>
      <c r="C64" s="1075"/>
      <c r="D64" s="635">
        <v>1</v>
      </c>
      <c r="E64" s="635" t="s">
        <v>165</v>
      </c>
      <c r="F64" s="636">
        <v>120</v>
      </c>
      <c r="G64" s="635">
        <v>36</v>
      </c>
      <c r="H64" s="636">
        <f t="shared" si="10"/>
        <v>0.33333333333333331</v>
      </c>
      <c r="I64" s="637">
        <f t="shared" si="11"/>
        <v>40</v>
      </c>
    </row>
    <row r="65" spans="1:9" ht="15" thickBot="1" x14ac:dyDescent="0.35">
      <c r="A65" s="1092"/>
      <c r="B65" s="1084" t="s">
        <v>369</v>
      </c>
      <c r="C65" s="1075"/>
      <c r="D65" s="635">
        <v>1</v>
      </c>
      <c r="E65" s="635" t="s">
        <v>165</v>
      </c>
      <c r="F65" s="636">
        <v>180</v>
      </c>
      <c r="G65" s="635">
        <v>36</v>
      </c>
      <c r="H65" s="636">
        <f t="shared" si="10"/>
        <v>0.33333333333333331</v>
      </c>
      <c r="I65" s="637">
        <f t="shared" si="11"/>
        <v>60</v>
      </c>
    </row>
    <row r="66" spans="1:9" x14ac:dyDescent="0.3">
      <c r="A66" s="1092"/>
      <c r="B66" s="1094" t="s">
        <v>359</v>
      </c>
      <c r="C66" s="1095"/>
      <c r="D66" s="638">
        <v>1</v>
      </c>
      <c r="E66" s="638" t="s">
        <v>165</v>
      </c>
      <c r="F66" s="639">
        <v>410</v>
      </c>
      <c r="G66" s="638">
        <v>12</v>
      </c>
      <c r="H66" s="639">
        <f t="shared" si="10"/>
        <v>1</v>
      </c>
      <c r="I66" s="637">
        <f t="shared" si="11"/>
        <v>410</v>
      </c>
    </row>
    <row r="67" spans="1:9" x14ac:dyDescent="0.3">
      <c r="A67" s="1092"/>
      <c r="B67" s="1084" t="s">
        <v>349</v>
      </c>
      <c r="C67" s="1075"/>
      <c r="D67" s="635">
        <v>1</v>
      </c>
      <c r="E67" s="635" t="s">
        <v>339</v>
      </c>
      <c r="F67" s="636">
        <v>160</v>
      </c>
      <c r="G67" s="635">
        <v>12</v>
      </c>
      <c r="H67" s="636">
        <f t="shared" si="10"/>
        <v>1</v>
      </c>
      <c r="I67" s="637">
        <f t="shared" si="11"/>
        <v>160</v>
      </c>
    </row>
    <row r="68" spans="1:9" x14ac:dyDescent="0.3">
      <c r="A68" s="1092"/>
      <c r="B68" s="1084" t="s">
        <v>370</v>
      </c>
      <c r="C68" s="1075"/>
      <c r="D68" s="635">
        <v>1</v>
      </c>
      <c r="E68" s="635" t="s">
        <v>165</v>
      </c>
      <c r="F68" s="636">
        <v>30</v>
      </c>
      <c r="G68" s="635">
        <v>12</v>
      </c>
      <c r="H68" s="636">
        <f t="shared" si="10"/>
        <v>1</v>
      </c>
      <c r="I68" s="637">
        <f t="shared" si="11"/>
        <v>30</v>
      </c>
    </row>
    <row r="69" spans="1:9" x14ac:dyDescent="0.3">
      <c r="A69" s="1092"/>
      <c r="B69" s="1084" t="s">
        <v>338</v>
      </c>
      <c r="C69" s="1075"/>
      <c r="D69" s="635">
        <v>1</v>
      </c>
      <c r="E69" s="635" t="s">
        <v>339</v>
      </c>
      <c r="F69" s="636">
        <v>12</v>
      </c>
      <c r="G69" s="635">
        <v>2</v>
      </c>
      <c r="H69" s="636">
        <f t="shared" si="10"/>
        <v>6</v>
      </c>
      <c r="I69" s="637">
        <f t="shared" si="11"/>
        <v>72</v>
      </c>
    </row>
    <row r="70" spans="1:9" x14ac:dyDescent="0.3">
      <c r="A70" s="1092"/>
      <c r="B70" s="1085" t="s">
        <v>362</v>
      </c>
      <c r="C70" s="1086"/>
      <c r="D70" s="295">
        <v>1</v>
      </c>
      <c r="E70" s="295" t="s">
        <v>165</v>
      </c>
      <c r="F70" s="270">
        <v>320</v>
      </c>
      <c r="G70" s="295">
        <v>36</v>
      </c>
      <c r="H70" s="636">
        <f>12/G70*D70</f>
        <v>0.33333333333333331</v>
      </c>
      <c r="I70" s="637">
        <f>F70*H70</f>
        <v>106.66666666666666</v>
      </c>
    </row>
    <row r="71" spans="1:9" x14ac:dyDescent="0.3">
      <c r="A71" s="1092"/>
      <c r="B71" s="1087" t="s">
        <v>363</v>
      </c>
      <c r="C71" s="1088"/>
      <c r="D71" s="364">
        <v>1</v>
      </c>
      <c r="E71" s="364" t="s">
        <v>165</v>
      </c>
      <c r="F71" s="589">
        <v>279</v>
      </c>
      <c r="G71" s="364">
        <v>36</v>
      </c>
      <c r="H71" s="636">
        <f>12/G71*D71</f>
        <v>0.33333333333333331</v>
      </c>
      <c r="I71" s="637">
        <f>F71*H71</f>
        <v>93</v>
      </c>
    </row>
    <row r="72" spans="1:9" x14ac:dyDescent="0.3">
      <c r="A72" s="1092"/>
      <c r="B72" s="1084" t="s">
        <v>371</v>
      </c>
      <c r="C72" s="1075"/>
      <c r="D72" s="635">
        <v>1</v>
      </c>
      <c r="E72" s="635" t="s">
        <v>339</v>
      </c>
      <c r="F72" s="636">
        <v>120</v>
      </c>
      <c r="G72" s="635">
        <v>36</v>
      </c>
      <c r="H72" s="636">
        <f t="shared" si="10"/>
        <v>0.33333333333333331</v>
      </c>
      <c r="I72" s="637">
        <f t="shared" si="11"/>
        <v>40</v>
      </c>
    </row>
    <row r="73" spans="1:9" ht="15" thickBot="1" x14ac:dyDescent="0.35">
      <c r="A73" s="1092"/>
      <c r="B73" s="1089" t="s">
        <v>372</v>
      </c>
      <c r="C73" s="1090"/>
      <c r="D73" s="640">
        <v>1</v>
      </c>
      <c r="E73" s="640" t="s">
        <v>339</v>
      </c>
      <c r="F73" s="641">
        <v>320</v>
      </c>
      <c r="G73" s="640">
        <v>36</v>
      </c>
      <c r="H73" s="641">
        <f t="shared" si="10"/>
        <v>0.33333333333333331</v>
      </c>
      <c r="I73" s="637">
        <f t="shared" si="11"/>
        <v>106.66666666666666</v>
      </c>
    </row>
    <row r="74" spans="1:9" ht="15" thickBot="1" x14ac:dyDescent="0.35">
      <c r="A74" s="1093"/>
      <c r="B74" s="1096" t="s">
        <v>345</v>
      </c>
      <c r="C74" s="1097"/>
      <c r="D74" s="1097"/>
      <c r="E74" s="1097"/>
      <c r="F74" s="1097"/>
      <c r="G74" s="1097"/>
      <c r="H74" s="1098"/>
      <c r="I74" s="642">
        <f>SUM(I60:I73)</f>
        <v>1241.5366666666666</v>
      </c>
    </row>
    <row r="75" spans="1:9" x14ac:dyDescent="0.3">
      <c r="A75" s="1076" t="s">
        <v>320</v>
      </c>
      <c r="B75" s="1077" t="s">
        <v>338</v>
      </c>
      <c r="C75" s="1078"/>
      <c r="D75" s="644">
        <v>1</v>
      </c>
      <c r="E75" s="388" t="s">
        <v>339</v>
      </c>
      <c r="F75" s="645">
        <v>12</v>
      </c>
      <c r="G75" s="644">
        <v>3</v>
      </c>
      <c r="H75" s="645">
        <f>12/G75*D75</f>
        <v>4</v>
      </c>
      <c r="I75" s="271">
        <f>F75*H75</f>
        <v>48</v>
      </c>
    </row>
    <row r="76" spans="1:9" x14ac:dyDescent="0.3">
      <c r="A76" s="1076"/>
      <c r="B76" s="1077" t="s">
        <v>359</v>
      </c>
      <c r="C76" s="1078"/>
      <c r="D76" s="644">
        <v>1</v>
      </c>
      <c r="E76" s="388" t="s">
        <v>165</v>
      </c>
      <c r="F76" s="645">
        <v>410</v>
      </c>
      <c r="G76" s="644">
        <v>12</v>
      </c>
      <c r="H76" s="645">
        <f>12/G76*D76</f>
        <v>1</v>
      </c>
      <c r="I76" s="271">
        <f>F76*H76</f>
        <v>410</v>
      </c>
    </row>
    <row r="77" spans="1:9" x14ac:dyDescent="0.3">
      <c r="A77" s="1076"/>
      <c r="B77" s="1077" t="s">
        <v>349</v>
      </c>
      <c r="C77" s="1078"/>
      <c r="D77" s="644">
        <v>1</v>
      </c>
      <c r="E77" s="388" t="s">
        <v>339</v>
      </c>
      <c r="F77" s="645">
        <v>160</v>
      </c>
      <c r="G77" s="644">
        <v>24</v>
      </c>
      <c r="H77" s="645">
        <f>12/G77*D77</f>
        <v>0.5</v>
      </c>
      <c r="I77" s="271">
        <f>F77*H77</f>
        <v>80</v>
      </c>
    </row>
    <row r="78" spans="1:9" ht="15" thickBot="1" x14ac:dyDescent="0.35">
      <c r="A78" s="1076"/>
      <c r="B78" s="1079" t="s">
        <v>373</v>
      </c>
      <c r="C78" s="1080"/>
      <c r="D78" s="648">
        <v>1</v>
      </c>
      <c r="E78" s="649" t="s">
        <v>165</v>
      </c>
      <c r="F78" s="650">
        <v>320</v>
      </c>
      <c r="G78" s="648">
        <v>36</v>
      </c>
      <c r="H78" s="650">
        <f>12/G78*D78</f>
        <v>0.33333333333333331</v>
      </c>
      <c r="I78" s="651">
        <f>F78*H78</f>
        <v>106.66666666666666</v>
      </c>
    </row>
    <row r="79" spans="1:9" ht="15" thickBot="1" x14ac:dyDescent="0.35">
      <c r="A79" s="1076"/>
      <c r="B79" s="1081" t="s">
        <v>345</v>
      </c>
      <c r="C79" s="1082"/>
      <c r="D79" s="1082"/>
      <c r="E79" s="1082"/>
      <c r="F79" s="1082"/>
      <c r="G79" s="1082"/>
      <c r="H79" s="1083"/>
      <c r="I79" s="652">
        <f>SUM(I75:I78)</f>
        <v>644.66666666666663</v>
      </c>
    </row>
    <row r="80" spans="1:9" x14ac:dyDescent="0.3">
      <c r="A80" s="1030" t="s">
        <v>199</v>
      </c>
      <c r="B80" s="1071" t="s">
        <v>359</v>
      </c>
      <c r="C80" s="1071"/>
      <c r="D80" s="632">
        <v>1</v>
      </c>
      <c r="E80" s="632" t="s">
        <v>165</v>
      </c>
      <c r="F80" s="633">
        <v>410</v>
      </c>
      <c r="G80" s="632">
        <v>12</v>
      </c>
      <c r="H80" s="633">
        <f t="shared" ref="H80:H85" si="12">12/G80*D80</f>
        <v>1</v>
      </c>
      <c r="I80" s="634">
        <f t="shared" ref="I80:I85" si="13">F80*H80</f>
        <v>410</v>
      </c>
    </row>
    <row r="81" spans="1:9" x14ac:dyDescent="0.3">
      <c r="A81" s="1069"/>
      <c r="B81" s="1072" t="s">
        <v>349</v>
      </c>
      <c r="C81" s="1072"/>
      <c r="D81" s="635">
        <v>1</v>
      </c>
      <c r="E81" s="635" t="s">
        <v>339</v>
      </c>
      <c r="F81" s="636">
        <v>160</v>
      </c>
      <c r="G81" s="635">
        <v>12</v>
      </c>
      <c r="H81" s="636">
        <f t="shared" si="12"/>
        <v>1</v>
      </c>
      <c r="I81" s="643">
        <f t="shared" si="13"/>
        <v>160</v>
      </c>
    </row>
    <row r="82" spans="1:9" x14ac:dyDescent="0.3">
      <c r="A82" s="1069"/>
      <c r="B82" s="1072" t="s">
        <v>338</v>
      </c>
      <c r="C82" s="1072"/>
      <c r="D82" s="635">
        <v>1</v>
      </c>
      <c r="E82" s="635" t="s">
        <v>339</v>
      </c>
      <c r="F82" s="636">
        <v>12</v>
      </c>
      <c r="G82" s="635">
        <v>2</v>
      </c>
      <c r="H82" s="636">
        <f t="shared" si="12"/>
        <v>6</v>
      </c>
      <c r="I82" s="643">
        <f t="shared" si="13"/>
        <v>72</v>
      </c>
    </row>
    <row r="83" spans="1:9" x14ac:dyDescent="0.3">
      <c r="A83" s="1069"/>
      <c r="B83" s="1073" t="s">
        <v>362</v>
      </c>
      <c r="C83" s="1073"/>
      <c r="D83" s="295">
        <v>1</v>
      </c>
      <c r="E83" s="295" t="s">
        <v>165</v>
      </c>
      <c r="F83" s="270">
        <v>320</v>
      </c>
      <c r="G83" s="295">
        <v>36</v>
      </c>
      <c r="H83" s="636">
        <f t="shared" si="12"/>
        <v>0.33333333333333331</v>
      </c>
      <c r="I83" s="643">
        <f t="shared" si="13"/>
        <v>106.66666666666666</v>
      </c>
    </row>
    <row r="84" spans="1:9" x14ac:dyDescent="0.3">
      <c r="A84" s="1069"/>
      <c r="B84" s="1073" t="s">
        <v>363</v>
      </c>
      <c r="C84" s="1073"/>
      <c r="D84" s="295">
        <v>1</v>
      </c>
      <c r="E84" s="295" t="s">
        <v>165</v>
      </c>
      <c r="F84" s="270">
        <v>279</v>
      </c>
      <c r="G84" s="295">
        <v>36</v>
      </c>
      <c r="H84" s="636">
        <f t="shared" si="12"/>
        <v>0.33333333333333331</v>
      </c>
      <c r="I84" s="643">
        <f t="shared" si="13"/>
        <v>93</v>
      </c>
    </row>
    <row r="85" spans="1:9" x14ac:dyDescent="0.3">
      <c r="A85" s="1069"/>
      <c r="B85" s="1072" t="s">
        <v>374</v>
      </c>
      <c r="C85" s="1072"/>
      <c r="D85" s="644">
        <v>1</v>
      </c>
      <c r="E85" s="295" t="s">
        <v>165</v>
      </c>
      <c r="F85" s="645">
        <v>76</v>
      </c>
      <c r="G85" s="644">
        <v>24</v>
      </c>
      <c r="H85" s="636">
        <f t="shared" si="12"/>
        <v>0.5</v>
      </c>
      <c r="I85" s="643">
        <f t="shared" si="13"/>
        <v>38</v>
      </c>
    </row>
    <row r="86" spans="1:9" x14ac:dyDescent="0.3">
      <c r="A86" s="1069"/>
      <c r="B86" s="1074" t="s">
        <v>375</v>
      </c>
      <c r="C86" s="1075"/>
      <c r="D86" s="646">
        <v>1</v>
      </c>
      <c r="E86" s="295" t="s">
        <v>165</v>
      </c>
      <c r="F86" s="646">
        <v>4250</v>
      </c>
      <c r="G86" s="646">
        <v>96</v>
      </c>
      <c r="H86" s="636">
        <f>12/G86*D86</f>
        <v>0.125</v>
      </c>
      <c r="I86" s="643">
        <f>F86*H86</f>
        <v>531.25</v>
      </c>
    </row>
    <row r="87" spans="1:9" x14ac:dyDescent="0.3">
      <c r="A87" s="1069"/>
      <c r="B87" s="1074" t="s">
        <v>376</v>
      </c>
      <c r="C87" s="1075"/>
      <c r="D87" s="646">
        <v>1</v>
      </c>
      <c r="E87" s="295" t="s">
        <v>165</v>
      </c>
      <c r="F87" s="646">
        <v>5330</v>
      </c>
      <c r="G87" s="646">
        <v>96</v>
      </c>
      <c r="H87" s="636">
        <f>12/G87*D87</f>
        <v>0.125</v>
      </c>
      <c r="I87" s="643">
        <f>F87*H87</f>
        <v>666.25</v>
      </c>
    </row>
    <row r="88" spans="1:9" ht="15" thickBot="1" x14ac:dyDescent="0.35">
      <c r="A88" s="1070"/>
      <c r="B88" s="1053" t="s">
        <v>345</v>
      </c>
      <c r="C88" s="1053"/>
      <c r="D88" s="1053"/>
      <c r="E88" s="1053"/>
      <c r="F88" s="1053"/>
      <c r="G88" s="1053"/>
      <c r="H88" s="1053"/>
      <c r="I88" s="647">
        <f>SUM(I80:I87)</f>
        <v>2077.1666666666665</v>
      </c>
    </row>
    <row r="89" spans="1:9" x14ac:dyDescent="0.3">
      <c r="A89" s="563"/>
      <c r="B89" s="564"/>
      <c r="C89" s="257"/>
      <c r="D89" s="257"/>
      <c r="E89" s="257"/>
      <c r="F89" s="257"/>
      <c r="G89" s="257"/>
      <c r="H89" s="257"/>
      <c r="I89" s="591"/>
    </row>
    <row r="90" spans="1:9" x14ac:dyDescent="0.3">
      <c r="A90" s="563"/>
      <c r="B90" s="564"/>
      <c r="C90" s="257"/>
      <c r="D90" s="257"/>
      <c r="E90" s="257"/>
      <c r="F90" s="257"/>
      <c r="G90" s="257"/>
      <c r="H90" s="257"/>
      <c r="I90" s="591"/>
    </row>
    <row r="91" spans="1:9" x14ac:dyDescent="0.3">
      <c r="A91" s="563"/>
      <c r="B91" s="564"/>
      <c r="C91" s="257"/>
      <c r="D91" s="257"/>
      <c r="E91" s="257"/>
      <c r="F91" s="257"/>
      <c r="G91" s="257"/>
      <c r="H91" s="257"/>
      <c r="I91" s="591"/>
    </row>
    <row r="92" spans="1:9" ht="12.6" customHeight="1" x14ac:dyDescent="0.3">
      <c r="A92" s="563"/>
      <c r="B92" s="564"/>
      <c r="C92" s="257"/>
      <c r="D92" s="257"/>
      <c r="E92" s="257"/>
      <c r="F92" s="257"/>
      <c r="G92" s="257"/>
      <c r="H92" s="257"/>
      <c r="I92" s="591"/>
    </row>
    <row r="93" spans="1:9" ht="11.4" customHeight="1" x14ac:dyDescent="0.3">
      <c r="A93" s="563"/>
      <c r="B93" s="564"/>
      <c r="C93" s="257"/>
      <c r="D93" s="257"/>
      <c r="E93" s="257"/>
      <c r="F93" s="257"/>
      <c r="G93" s="257"/>
      <c r="H93" s="257"/>
      <c r="I93" s="591"/>
    </row>
    <row r="94" spans="1:9" ht="11.4" customHeight="1" x14ac:dyDescent="0.3">
      <c r="A94" s="257"/>
      <c r="B94" s="257"/>
      <c r="C94" s="257"/>
      <c r="D94" s="257"/>
      <c r="E94" s="257"/>
      <c r="F94" s="257"/>
      <c r="G94" s="257"/>
      <c r="H94" s="257"/>
      <c r="I94" s="257"/>
    </row>
    <row r="95" spans="1:9" ht="36.6" hidden="1" customHeight="1" x14ac:dyDescent="0.3">
      <c r="A95" s="1054" t="s">
        <v>377</v>
      </c>
      <c r="B95" s="1055"/>
      <c r="C95" s="1055"/>
      <c r="D95" s="1055"/>
      <c r="E95" s="1055"/>
      <c r="F95" s="1055"/>
      <c r="G95" s="1055"/>
      <c r="H95" s="1055"/>
      <c r="I95" s="1055"/>
    </row>
    <row r="96" spans="1:9" ht="15" hidden="1" thickBot="1" x14ac:dyDescent="0.35">
      <c r="A96" s="1056" t="s">
        <v>378</v>
      </c>
      <c r="B96" s="1057"/>
      <c r="C96" s="1057"/>
      <c r="D96" s="1057"/>
      <c r="E96" s="1057"/>
      <c r="F96" s="1057"/>
      <c r="G96" s="1057"/>
      <c r="H96" s="1057"/>
      <c r="I96" s="1057"/>
    </row>
    <row r="97" spans="1:10" hidden="1" x14ac:dyDescent="0.3">
      <c r="A97" s="1058" t="s">
        <v>228</v>
      </c>
      <c r="B97" s="1059"/>
      <c r="C97" s="1062" t="s">
        <v>229</v>
      </c>
      <c r="D97" s="1064" t="s">
        <v>379</v>
      </c>
      <c r="E97" s="1065" t="s">
        <v>380</v>
      </c>
      <c r="F97" s="1066"/>
      <c r="G97" s="1067" t="s">
        <v>381</v>
      </c>
      <c r="H97" s="1068"/>
      <c r="I97" s="366" t="s">
        <v>234</v>
      </c>
    </row>
    <row r="98" spans="1:10" ht="21.6" hidden="1" x14ac:dyDescent="0.3">
      <c r="A98" s="1060"/>
      <c r="B98" s="1061"/>
      <c r="C98" s="1063"/>
      <c r="D98" s="1063"/>
      <c r="E98" s="367" t="s">
        <v>382</v>
      </c>
      <c r="F98" s="367" t="s">
        <v>383</v>
      </c>
      <c r="G98" s="367" t="s">
        <v>382</v>
      </c>
      <c r="H98" s="367" t="s">
        <v>383</v>
      </c>
      <c r="I98" s="368"/>
    </row>
    <row r="99" spans="1:10" hidden="1" x14ac:dyDescent="0.3">
      <c r="A99" s="726" t="s">
        <v>243</v>
      </c>
      <c r="B99" s="902"/>
      <c r="C99" s="902"/>
      <c r="D99" s="902"/>
      <c r="E99" s="902"/>
      <c r="F99" s="1042"/>
      <c r="G99" s="369"/>
      <c r="H99" s="369"/>
      <c r="I99" s="370"/>
    </row>
    <row r="100" spans="1:10" hidden="1" x14ac:dyDescent="0.3">
      <c r="A100" s="1043" t="s">
        <v>238</v>
      </c>
      <c r="B100" s="1044"/>
      <c r="C100" s="371">
        <f>[1]Таблица_Характеристика!G50+[1]Таблица_Характеристика!G51</f>
        <v>0</v>
      </c>
      <c r="D100" s="371"/>
      <c r="E100" s="372">
        <v>7.4999999999999997E-2</v>
      </c>
      <c r="F100" s="372">
        <v>0</v>
      </c>
      <c r="G100" s="372">
        <f>C100/100*E100*D100</f>
        <v>0</v>
      </c>
      <c r="H100" s="372">
        <v>0</v>
      </c>
      <c r="I100" s="373" t="s">
        <v>244</v>
      </c>
    </row>
    <row r="101" spans="1:10" hidden="1" x14ac:dyDescent="0.3">
      <c r="A101" s="1043" t="s">
        <v>239</v>
      </c>
      <c r="B101" s="1044"/>
      <c r="C101" s="371">
        <f>[1]Таблица_Характеристика!J50+[1]Таблица_Характеристика!J51</f>
        <v>0</v>
      </c>
      <c r="D101" s="371"/>
      <c r="E101" s="372">
        <v>0.09</v>
      </c>
      <c r="F101" s="372">
        <v>0</v>
      </c>
      <c r="G101" s="372">
        <f>C101/100*E101*D101</f>
        <v>0</v>
      </c>
      <c r="H101" s="372">
        <v>0</v>
      </c>
      <c r="I101" s="373" t="s">
        <v>245</v>
      </c>
    </row>
    <row r="102" spans="1:10" hidden="1" x14ac:dyDescent="0.3">
      <c r="A102" s="1043" t="s">
        <v>240</v>
      </c>
      <c r="B102" s="1044"/>
      <c r="C102" s="371">
        <f>[1]Таблица_Характеристика!L50+[1]Таблица_Характеристика!L51</f>
        <v>0</v>
      </c>
      <c r="D102" s="371"/>
      <c r="E102" s="372">
        <v>0.11</v>
      </c>
      <c r="F102" s="372">
        <v>0</v>
      </c>
      <c r="G102" s="372">
        <f>C102/100*E102*D102</f>
        <v>0</v>
      </c>
      <c r="H102" s="372">
        <v>0</v>
      </c>
      <c r="I102" s="373" t="s">
        <v>246</v>
      </c>
    </row>
    <row r="103" spans="1:10" hidden="1" x14ac:dyDescent="0.3">
      <c r="A103" s="1045" t="s">
        <v>219</v>
      </c>
      <c r="B103" s="1046"/>
      <c r="C103" s="1051" t="s">
        <v>108</v>
      </c>
      <c r="D103" s="1052"/>
      <c r="E103" s="374"/>
      <c r="F103" s="374"/>
      <c r="G103" s="375">
        <f>SUM(G100:G102)</f>
        <v>0</v>
      </c>
      <c r="H103" s="375">
        <f>SUM(H100:H102)</f>
        <v>0</v>
      </c>
      <c r="I103" s="1023">
        <f>G105+H105</f>
        <v>0</v>
      </c>
    </row>
    <row r="104" spans="1:10" hidden="1" x14ac:dyDescent="0.3">
      <c r="A104" s="1047"/>
      <c r="B104" s="1048"/>
      <c r="C104" s="1026" t="s">
        <v>328</v>
      </c>
      <c r="D104" s="1027"/>
      <c r="E104" s="371"/>
      <c r="F104" s="371"/>
      <c r="G104" s="375">
        <f>[1]Расчет!C25</f>
        <v>0</v>
      </c>
      <c r="H104" s="374">
        <v>0</v>
      </c>
      <c r="I104" s="1024"/>
    </row>
    <row r="105" spans="1:10" hidden="1" x14ac:dyDescent="0.3">
      <c r="A105" s="1049"/>
      <c r="B105" s="1050"/>
      <c r="C105" s="1026" t="s">
        <v>384</v>
      </c>
      <c r="D105" s="1027"/>
      <c r="E105" s="371"/>
      <c r="F105" s="371"/>
      <c r="G105" s="374">
        <f>G103*G104</f>
        <v>0</v>
      </c>
      <c r="H105" s="374">
        <f>H103*H104</f>
        <v>0</v>
      </c>
      <c r="I105" s="1025"/>
    </row>
    <row r="106" spans="1:10" ht="15" thickBot="1" x14ac:dyDescent="0.35">
      <c r="A106" s="1028"/>
      <c r="B106" s="1029"/>
      <c r="C106" s="376"/>
      <c r="D106" s="376"/>
      <c r="E106" s="377"/>
      <c r="F106" s="377"/>
      <c r="G106" s="377"/>
      <c r="H106" s="377"/>
      <c r="I106" s="378"/>
    </row>
    <row r="107" spans="1:10" ht="41.4" customHeight="1" x14ac:dyDescent="0.3">
      <c r="A107" s="1030" t="s">
        <v>228</v>
      </c>
      <c r="B107" s="1032" t="s">
        <v>385</v>
      </c>
      <c r="C107" s="1033"/>
      <c r="D107" s="1034" t="s">
        <v>386</v>
      </c>
      <c r="E107" s="1036" t="s">
        <v>387</v>
      </c>
      <c r="F107" s="1037"/>
      <c r="G107" s="1038" t="s">
        <v>388</v>
      </c>
      <c r="H107" s="1040" t="s">
        <v>389</v>
      </c>
      <c r="I107" s="1041"/>
    </row>
    <row r="108" spans="1:10" ht="48.6" customHeight="1" thickBot="1" x14ac:dyDescent="0.35">
      <c r="A108" s="1031"/>
      <c r="B108" s="379" t="s">
        <v>390</v>
      </c>
      <c r="C108" s="379" t="s">
        <v>391</v>
      </c>
      <c r="D108" s="1035"/>
      <c r="E108" s="379" t="s">
        <v>390</v>
      </c>
      <c r="F108" s="379" t="s">
        <v>391</v>
      </c>
      <c r="G108" s="1039"/>
      <c r="H108" s="380" t="s">
        <v>392</v>
      </c>
      <c r="I108" s="381" t="s">
        <v>393</v>
      </c>
      <c r="J108">
        <f>26.6/1.2</f>
        <v>22.166666666666668</v>
      </c>
    </row>
    <row r="109" spans="1:10" ht="15" thickBot="1" x14ac:dyDescent="0.35">
      <c r="A109" s="1013" t="s">
        <v>394</v>
      </c>
      <c r="B109" s="891"/>
      <c r="C109" s="891"/>
      <c r="D109" s="1014"/>
      <c r="E109" s="1015" t="s">
        <v>395</v>
      </c>
      <c r="F109" s="1016"/>
      <c r="G109" s="1017"/>
      <c r="H109" s="382">
        <v>2.6499999999999999E-2</v>
      </c>
      <c r="I109" s="383">
        <v>0.53</v>
      </c>
      <c r="J109" t="s">
        <v>484</v>
      </c>
    </row>
    <row r="110" spans="1:10" ht="20.399999999999999" x14ac:dyDescent="0.3">
      <c r="A110" s="384" t="s">
        <v>396</v>
      </c>
      <c r="B110" s="371">
        <f>[1]Таблица_Характеристика!$H$59*(IF([1]Расчет!$D$35=1,1,0))</f>
        <v>0</v>
      </c>
      <c r="C110" s="371">
        <f>Характеристика!L55</f>
        <v>2500</v>
      </c>
      <c r="D110" s="385">
        <v>2</v>
      </c>
      <c r="E110" s="386"/>
      <c r="F110" s="386">
        <v>0.42</v>
      </c>
      <c r="G110" s="386">
        <f>((B110/100*E110)+(C110/100*F110))*D110</f>
        <v>21</v>
      </c>
      <c r="H110" s="386">
        <f>G110*H109</f>
        <v>0.55649999999999999</v>
      </c>
      <c r="I110" s="387">
        <f>G110*I109</f>
        <v>11.13</v>
      </c>
    </row>
    <row r="111" spans="1:10" x14ac:dyDescent="0.3">
      <c r="A111" s="1018" t="s">
        <v>219</v>
      </c>
      <c r="B111" s="1019" t="s">
        <v>108</v>
      </c>
      <c r="C111" s="1020"/>
      <c r="D111" s="385"/>
      <c r="E111" s="388"/>
      <c r="F111" s="388"/>
      <c r="G111" s="371"/>
      <c r="H111" s="374">
        <f>SUM(H110:H110)</f>
        <v>0.55649999999999999</v>
      </c>
      <c r="I111" s="389">
        <f>SUM(I110:I110)</f>
        <v>11.13</v>
      </c>
    </row>
    <row r="112" spans="1:10" x14ac:dyDescent="0.3">
      <c r="A112" s="1018"/>
      <c r="B112" s="1021" t="s">
        <v>328</v>
      </c>
      <c r="C112" s="1021"/>
      <c r="D112" s="385"/>
      <c r="E112" s="388"/>
      <c r="F112" s="388"/>
      <c r="G112" s="388"/>
      <c r="H112" s="374">
        <v>60</v>
      </c>
      <c r="I112" s="389">
        <v>22.17</v>
      </c>
    </row>
    <row r="113" spans="1:9" x14ac:dyDescent="0.3">
      <c r="A113" s="1018"/>
      <c r="B113" s="1022" t="s">
        <v>397</v>
      </c>
      <c r="C113" s="1022"/>
      <c r="D113" s="390"/>
      <c r="E113" s="391"/>
      <c r="F113" s="391"/>
      <c r="G113" s="391"/>
      <c r="H113" s="392">
        <f>H111*H112</f>
        <v>33.39</v>
      </c>
      <c r="I113" s="393">
        <f>I111*I112</f>
        <v>246.75210000000004</v>
      </c>
    </row>
    <row r="114" spans="1:9" x14ac:dyDescent="0.3">
      <c r="A114" s="1018"/>
      <c r="B114" s="1008" t="s">
        <v>483</v>
      </c>
      <c r="C114" s="1008"/>
      <c r="D114" s="1008"/>
      <c r="E114" s="388"/>
      <c r="F114" s="388"/>
      <c r="G114" s="388"/>
      <c r="H114" s="374">
        <f>C110*0.0178</f>
        <v>44.5</v>
      </c>
      <c r="I114" s="374"/>
    </row>
    <row r="115" spans="1:9" x14ac:dyDescent="0.3">
      <c r="A115" s="394"/>
      <c r="B115" s="1008" t="s">
        <v>398</v>
      </c>
      <c r="C115" s="1008"/>
      <c r="D115" s="1008"/>
      <c r="E115" s="388"/>
      <c r="F115" s="388"/>
      <c r="G115" s="388"/>
      <c r="H115" s="374">
        <f>G110*2.2</f>
        <v>46.2</v>
      </c>
      <c r="I115" s="374"/>
    </row>
    <row r="116" spans="1:9" x14ac:dyDescent="0.3">
      <c r="A116" s="394"/>
      <c r="B116" s="395"/>
      <c r="C116" s="395"/>
      <c r="D116" s="396"/>
      <c r="E116" s="397"/>
      <c r="F116" s="397"/>
      <c r="G116" s="397"/>
      <c r="H116" s="398"/>
      <c r="I116" s="398">
        <f>H113+I113+H114+H115</f>
        <v>370.84210000000002</v>
      </c>
    </row>
    <row r="117" spans="1:9" s="351" customFormat="1" hidden="1" x14ac:dyDescent="0.3">
      <c r="A117" s="352"/>
      <c r="B117" s="354"/>
      <c r="C117" s="354"/>
      <c r="D117" s="354"/>
      <c r="E117" s="354"/>
      <c r="F117" s="354"/>
      <c r="G117" s="354"/>
      <c r="H117" s="354"/>
      <c r="I117" s="354"/>
    </row>
    <row r="118" spans="1:9" s="351" customFormat="1" ht="15" hidden="1" thickBot="1" x14ac:dyDescent="0.35">
      <c r="A118" s="1009" t="s">
        <v>399</v>
      </c>
      <c r="B118" s="1010"/>
      <c r="C118" s="1010"/>
      <c r="D118" s="1010"/>
      <c r="E118" s="1010"/>
      <c r="F118" s="1010"/>
      <c r="G118" s="1010"/>
      <c r="H118" s="1010"/>
      <c r="I118" s="1010"/>
    </row>
    <row r="119" spans="1:9" s="351" customFormat="1" hidden="1" x14ac:dyDescent="0.3">
      <c r="A119" s="964" t="s">
        <v>228</v>
      </c>
      <c r="B119" s="965"/>
      <c r="C119" s="968" t="s">
        <v>229</v>
      </c>
      <c r="D119" s="969" t="s">
        <v>230</v>
      </c>
      <c r="E119" s="979" t="s">
        <v>380</v>
      </c>
      <c r="F119" s="980"/>
      <c r="G119" s="1011" t="s">
        <v>381</v>
      </c>
      <c r="H119" s="1012"/>
      <c r="I119" s="304" t="s">
        <v>234</v>
      </c>
    </row>
    <row r="120" spans="1:9" s="351" customFormat="1" ht="15" hidden="1" thickBot="1" x14ac:dyDescent="0.35">
      <c r="A120" s="966"/>
      <c r="B120" s="967"/>
      <c r="C120" s="940"/>
      <c r="D120" s="940"/>
      <c r="E120" s="307" t="s">
        <v>382</v>
      </c>
      <c r="F120" s="307" t="s">
        <v>400</v>
      </c>
      <c r="G120" s="307" t="s">
        <v>382</v>
      </c>
      <c r="H120" s="307" t="s">
        <v>400</v>
      </c>
      <c r="I120" s="308"/>
    </row>
    <row r="121" spans="1:9" s="351" customFormat="1" ht="15" hidden="1" thickBot="1" x14ac:dyDescent="0.35">
      <c r="A121" s="1004" t="s">
        <v>401</v>
      </c>
      <c r="B121" s="1005"/>
      <c r="C121" s="309">
        <f>'[1]сходові клітки'!C37</f>
        <v>0</v>
      </c>
      <c r="D121" s="310"/>
      <c r="E121" s="311">
        <v>0.05</v>
      </c>
      <c r="F121" s="312">
        <v>2.3E-3</v>
      </c>
      <c r="G121" s="313">
        <f>C121/100*D121*E121</f>
        <v>0</v>
      </c>
      <c r="H121" s="311">
        <f>C121/100*D121*F121</f>
        <v>0</v>
      </c>
      <c r="I121" s="314" t="s">
        <v>402</v>
      </c>
    </row>
    <row r="122" spans="1:9" s="351" customFormat="1" hidden="1" x14ac:dyDescent="0.3">
      <c r="A122" s="1006" t="s">
        <v>403</v>
      </c>
      <c r="B122" s="1007"/>
      <c r="C122" s="309">
        <f>'[1]сходові клітки'!C38</f>
        <v>0</v>
      </c>
      <c r="D122" s="315"/>
      <c r="E122" s="305">
        <v>0.05</v>
      </c>
      <c r="F122" s="312">
        <v>1E-3</v>
      </c>
      <c r="G122" s="316">
        <f>C122/100*D122*E122</f>
        <v>0</v>
      </c>
      <c r="H122" s="317">
        <f>C122/100*D122*F122</f>
        <v>0</v>
      </c>
      <c r="I122" s="318" t="s">
        <v>404</v>
      </c>
    </row>
    <row r="123" spans="1:9" s="351" customFormat="1" hidden="1" x14ac:dyDescent="0.3">
      <c r="A123" s="1000" t="s">
        <v>405</v>
      </c>
      <c r="B123" s="1002"/>
      <c r="C123" s="1003"/>
      <c r="D123" s="319"/>
      <c r="E123" s="316"/>
      <c r="F123" s="320"/>
      <c r="G123" s="316"/>
      <c r="H123" s="321"/>
      <c r="I123" s="322"/>
    </row>
    <row r="124" spans="1:9" s="351" customFormat="1" hidden="1" x14ac:dyDescent="0.3">
      <c r="A124" s="983" t="s">
        <v>406</v>
      </c>
      <c r="B124" s="998"/>
      <c r="C124" s="323">
        <f>'[1]сходові клітки'!C40</f>
        <v>0</v>
      </c>
      <c r="D124" s="319"/>
      <c r="E124" s="316">
        <v>5.0000000000000001E-3</v>
      </c>
      <c r="F124" s="320">
        <v>6.6E-3</v>
      </c>
      <c r="G124" s="316">
        <f>C124/100*E124*D124</f>
        <v>0</v>
      </c>
      <c r="H124" s="321">
        <f>C124/100*F124*D124</f>
        <v>0</v>
      </c>
      <c r="I124" s="322" t="s">
        <v>407</v>
      </c>
    </row>
    <row r="125" spans="1:9" s="351" customFormat="1" hidden="1" x14ac:dyDescent="0.3">
      <c r="A125" s="983" t="s">
        <v>408</v>
      </c>
      <c r="B125" s="998"/>
      <c r="C125" s="323">
        <f>'[1]сходові клітки'!C41</f>
        <v>0</v>
      </c>
      <c r="D125" s="319"/>
      <c r="E125" s="316">
        <v>5.0000000000000001E-3</v>
      </c>
      <c r="F125" s="320">
        <v>8.0000000000000002E-3</v>
      </c>
      <c r="G125" s="316">
        <f t="shared" ref="G125:G130" si="14">C125/100*E125*D125</f>
        <v>0</v>
      </c>
      <c r="H125" s="321">
        <f t="shared" ref="H125:H130" si="15">C125/100*F125*D125</f>
        <v>0</v>
      </c>
      <c r="I125" s="322" t="s">
        <v>409</v>
      </c>
    </row>
    <row r="126" spans="1:9" s="351" customFormat="1" hidden="1" x14ac:dyDescent="0.3">
      <c r="A126" s="983" t="s">
        <v>410</v>
      </c>
      <c r="B126" s="998"/>
      <c r="C126" s="323">
        <f>'[1]сходові клітки'!C42</f>
        <v>0</v>
      </c>
      <c r="D126" s="319"/>
      <c r="E126" s="316">
        <v>5.0000000000000001E-3</v>
      </c>
      <c r="F126" s="320">
        <v>8.3000000000000001E-3</v>
      </c>
      <c r="G126" s="316">
        <f t="shared" si="14"/>
        <v>0</v>
      </c>
      <c r="H126" s="321">
        <f t="shared" si="15"/>
        <v>0</v>
      </c>
      <c r="I126" s="322" t="s">
        <v>411</v>
      </c>
    </row>
    <row r="127" spans="1:9" s="351" customFormat="1" hidden="1" x14ac:dyDescent="0.3">
      <c r="A127" s="983" t="s">
        <v>412</v>
      </c>
      <c r="B127" s="998"/>
      <c r="C127" s="323">
        <f>'[1]сходові клітки'!C43</f>
        <v>0</v>
      </c>
      <c r="D127" s="319"/>
      <c r="E127" s="316">
        <v>5.0000000000000001E-3</v>
      </c>
      <c r="F127" s="320">
        <v>1.0999999999999999E-2</v>
      </c>
      <c r="G127" s="316">
        <f t="shared" si="14"/>
        <v>0</v>
      </c>
      <c r="H127" s="321">
        <f t="shared" si="15"/>
        <v>0</v>
      </c>
      <c r="I127" s="322" t="s">
        <v>413</v>
      </c>
    </row>
    <row r="128" spans="1:9" s="351" customFormat="1" hidden="1" x14ac:dyDescent="0.3">
      <c r="A128" s="983" t="s">
        <v>414</v>
      </c>
      <c r="B128" s="998"/>
      <c r="C128" s="323">
        <f>'[1]сходові клітки'!C44</f>
        <v>0</v>
      </c>
      <c r="D128" s="319"/>
      <c r="E128" s="316">
        <v>5.0000000000000001E-3</v>
      </c>
      <c r="F128" s="320">
        <v>6.0000000000000001E-3</v>
      </c>
      <c r="G128" s="316">
        <f t="shared" si="14"/>
        <v>0</v>
      </c>
      <c r="H128" s="321">
        <f t="shared" si="15"/>
        <v>0</v>
      </c>
      <c r="I128" s="322" t="s">
        <v>415</v>
      </c>
    </row>
    <row r="129" spans="1:9" s="351" customFormat="1" hidden="1" x14ac:dyDescent="0.3">
      <c r="A129" s="983" t="s">
        <v>416</v>
      </c>
      <c r="B129" s="998"/>
      <c r="C129" s="323">
        <f>'[1]сходові клітки'!C45</f>
        <v>0</v>
      </c>
      <c r="D129" s="319"/>
      <c r="E129" s="316">
        <v>5.0000000000000001E-3</v>
      </c>
      <c r="F129" s="320">
        <v>7.9000000000000008E-3</v>
      </c>
      <c r="G129" s="316">
        <f t="shared" si="14"/>
        <v>0</v>
      </c>
      <c r="H129" s="321">
        <f t="shared" si="15"/>
        <v>0</v>
      </c>
      <c r="I129" s="322" t="s">
        <v>417</v>
      </c>
    </row>
    <row r="130" spans="1:9" s="351" customFormat="1" hidden="1" x14ac:dyDescent="0.3">
      <c r="A130" s="983" t="s">
        <v>418</v>
      </c>
      <c r="B130" s="998"/>
      <c r="C130" s="323">
        <f>'[1]сходові клітки'!C46</f>
        <v>0</v>
      </c>
      <c r="D130" s="319"/>
      <c r="E130" s="316">
        <v>5.0000000000000001E-3</v>
      </c>
      <c r="F130" s="320">
        <v>9.1000000000000004E-3</v>
      </c>
      <c r="G130" s="316">
        <f t="shared" si="14"/>
        <v>0</v>
      </c>
      <c r="H130" s="321">
        <f t="shared" si="15"/>
        <v>0</v>
      </c>
      <c r="I130" s="322" t="s">
        <v>419</v>
      </c>
    </row>
    <row r="131" spans="1:9" s="351" customFormat="1" hidden="1" x14ac:dyDescent="0.3">
      <c r="A131" s="1000" t="s">
        <v>420</v>
      </c>
      <c r="B131" s="1002"/>
      <c r="C131" s="1003"/>
      <c r="D131" s="319"/>
      <c r="E131" s="316"/>
      <c r="F131" s="320"/>
      <c r="G131" s="316"/>
      <c r="H131" s="321"/>
      <c r="I131" s="322"/>
    </row>
    <row r="132" spans="1:9" s="351" customFormat="1" hidden="1" x14ac:dyDescent="0.3">
      <c r="A132" s="983" t="s">
        <v>406</v>
      </c>
      <c r="B132" s="998"/>
      <c r="C132" s="323">
        <f>'[1]сходові клітки'!C48</f>
        <v>0</v>
      </c>
      <c r="D132" s="319"/>
      <c r="E132" s="316">
        <v>5.0000000000000001E-3</v>
      </c>
      <c r="F132" s="320">
        <v>8.6999999999999994E-3</v>
      </c>
      <c r="G132" s="316">
        <f>C132/100*E132*D132</f>
        <v>0</v>
      </c>
      <c r="H132" s="321">
        <f>C132/100*F132*D132</f>
        <v>0</v>
      </c>
      <c r="I132" s="322" t="s">
        <v>421</v>
      </c>
    </row>
    <row r="133" spans="1:9" s="351" customFormat="1" hidden="1" x14ac:dyDescent="0.3">
      <c r="A133" s="983" t="s">
        <v>408</v>
      </c>
      <c r="B133" s="998"/>
      <c r="C133" s="323">
        <f>'[1]сходові клітки'!C49</f>
        <v>0</v>
      </c>
      <c r="D133" s="319"/>
      <c r="E133" s="316">
        <v>5.0000000000000001E-3</v>
      </c>
      <c r="F133" s="320">
        <v>0.01</v>
      </c>
      <c r="G133" s="316">
        <f t="shared" ref="G133:G138" si="16">C133/100*E133*D133</f>
        <v>0</v>
      </c>
      <c r="H133" s="321">
        <f t="shared" ref="H133:H138" si="17">C133/100*F133*D133</f>
        <v>0</v>
      </c>
      <c r="I133" s="322" t="s">
        <v>422</v>
      </c>
    </row>
    <row r="134" spans="1:9" s="351" customFormat="1" hidden="1" x14ac:dyDescent="0.3">
      <c r="A134" s="983" t="s">
        <v>410</v>
      </c>
      <c r="B134" s="998"/>
      <c r="C134" s="323">
        <f>'[1]сходові клітки'!C50</f>
        <v>0</v>
      </c>
      <c r="D134" s="319"/>
      <c r="E134" s="316">
        <v>5.0000000000000001E-3</v>
      </c>
      <c r="F134" s="320">
        <v>1.23E-2</v>
      </c>
      <c r="G134" s="316">
        <f t="shared" si="16"/>
        <v>0</v>
      </c>
      <c r="H134" s="321">
        <f t="shared" si="17"/>
        <v>0</v>
      </c>
      <c r="I134" s="322" t="s">
        <v>423</v>
      </c>
    </row>
    <row r="135" spans="1:9" s="351" customFormat="1" hidden="1" x14ac:dyDescent="0.3">
      <c r="A135" s="983" t="s">
        <v>412</v>
      </c>
      <c r="B135" s="998"/>
      <c r="C135" s="323">
        <f>'[1]сходові клітки'!C51</f>
        <v>0</v>
      </c>
      <c r="D135" s="319"/>
      <c r="E135" s="316">
        <v>5.0000000000000001E-3</v>
      </c>
      <c r="F135" s="320">
        <v>1.4500000000000001E-2</v>
      </c>
      <c r="G135" s="316">
        <f t="shared" si="16"/>
        <v>0</v>
      </c>
      <c r="H135" s="321">
        <f t="shared" si="17"/>
        <v>0</v>
      </c>
      <c r="I135" s="322" t="s">
        <v>424</v>
      </c>
    </row>
    <row r="136" spans="1:9" s="351" customFormat="1" hidden="1" x14ac:dyDescent="0.3">
      <c r="A136" s="983" t="s">
        <v>414</v>
      </c>
      <c r="B136" s="998"/>
      <c r="C136" s="323">
        <f>'[1]сходові клітки'!C52</f>
        <v>0</v>
      </c>
      <c r="D136" s="319"/>
      <c r="E136" s="316">
        <v>5.0000000000000001E-3</v>
      </c>
      <c r="F136" s="320">
        <v>8.2000000000000007E-3</v>
      </c>
      <c r="G136" s="316">
        <f t="shared" si="16"/>
        <v>0</v>
      </c>
      <c r="H136" s="321">
        <f t="shared" si="17"/>
        <v>0</v>
      </c>
      <c r="I136" s="322" t="s">
        <v>425</v>
      </c>
    </row>
    <row r="137" spans="1:9" s="351" customFormat="1" hidden="1" x14ac:dyDescent="0.3">
      <c r="A137" s="983" t="s">
        <v>416</v>
      </c>
      <c r="B137" s="998"/>
      <c r="C137" s="323">
        <f>'[1]сходові клітки'!C53</f>
        <v>0</v>
      </c>
      <c r="D137" s="319"/>
      <c r="E137" s="316">
        <v>5.0000000000000001E-3</v>
      </c>
      <c r="F137" s="320">
        <v>0.01</v>
      </c>
      <c r="G137" s="316">
        <f t="shared" si="16"/>
        <v>0</v>
      </c>
      <c r="H137" s="321">
        <f t="shared" si="17"/>
        <v>0</v>
      </c>
      <c r="I137" s="322" t="s">
        <v>426</v>
      </c>
    </row>
    <row r="138" spans="1:9" s="351" customFormat="1" hidden="1" x14ac:dyDescent="0.3">
      <c r="A138" s="983" t="s">
        <v>418</v>
      </c>
      <c r="B138" s="998"/>
      <c r="C138" s="323">
        <f>'[1]сходові клітки'!C54</f>
        <v>0</v>
      </c>
      <c r="D138" s="319"/>
      <c r="E138" s="316">
        <v>5.0000000000000001E-3</v>
      </c>
      <c r="F138" s="320">
        <v>1.17E-2</v>
      </c>
      <c r="G138" s="316">
        <f t="shared" si="16"/>
        <v>0</v>
      </c>
      <c r="H138" s="321">
        <f t="shared" si="17"/>
        <v>0</v>
      </c>
      <c r="I138" s="322" t="s">
        <v>427</v>
      </c>
    </row>
    <row r="139" spans="1:9" s="351" customFormat="1" hidden="1" x14ac:dyDescent="0.3">
      <c r="A139" s="1000" t="s">
        <v>428</v>
      </c>
      <c r="B139" s="1001"/>
      <c r="C139" s="324">
        <f>[1]Таблица_Характеристика!B43</f>
        <v>0</v>
      </c>
      <c r="D139" s="315"/>
      <c r="E139" s="305">
        <v>0</v>
      </c>
      <c r="F139" s="325">
        <v>0</v>
      </c>
      <c r="G139" s="305">
        <f>C139/100*E139*D139</f>
        <v>0</v>
      </c>
      <c r="H139" s="317">
        <f>C139/100*F139*D139</f>
        <v>0</v>
      </c>
      <c r="I139" s="326" t="s">
        <v>429</v>
      </c>
    </row>
    <row r="140" spans="1:9" s="351" customFormat="1" hidden="1" x14ac:dyDescent="0.3">
      <c r="A140" s="1000" t="s">
        <v>430</v>
      </c>
      <c r="B140" s="1001"/>
      <c r="C140" s="324"/>
      <c r="D140" s="315"/>
      <c r="E140" s="305"/>
      <c r="F140" s="325"/>
      <c r="G140" s="305"/>
      <c r="H140" s="317"/>
      <c r="I140" s="326"/>
    </row>
    <row r="141" spans="1:9" s="351" customFormat="1" hidden="1" x14ac:dyDescent="0.3">
      <c r="A141" s="983" t="s">
        <v>431</v>
      </c>
      <c r="B141" s="998"/>
      <c r="C141" s="324">
        <f>'[1]сходові клітки'!C57</f>
        <v>0</v>
      </c>
      <c r="D141" s="315"/>
      <c r="E141" s="305">
        <v>2.5000000000000001E-2</v>
      </c>
      <c r="F141" s="325">
        <v>3.7000000000000002E-3</v>
      </c>
      <c r="G141" s="305">
        <f>C141/100*E141*D141</f>
        <v>0</v>
      </c>
      <c r="H141" s="317">
        <f>C141/100*F141*D140:D141</f>
        <v>0</v>
      </c>
      <c r="I141" s="318" t="s">
        <v>432</v>
      </c>
    </row>
    <row r="142" spans="1:9" s="351" customFormat="1" hidden="1" x14ac:dyDescent="0.3">
      <c r="A142" s="983" t="s">
        <v>433</v>
      </c>
      <c r="B142" s="998"/>
      <c r="C142" s="324">
        <f>'[1]сходові клітки'!C58</f>
        <v>0</v>
      </c>
      <c r="D142" s="315"/>
      <c r="E142" s="305">
        <v>0.05</v>
      </c>
      <c r="F142" s="325">
        <v>5.5999999999999999E-3</v>
      </c>
      <c r="G142" s="305">
        <f>C142/100*E142*D142</f>
        <v>0</v>
      </c>
      <c r="H142" s="317">
        <f>C142/100*F142*D141:D142</f>
        <v>0</v>
      </c>
      <c r="I142" s="318" t="s">
        <v>434</v>
      </c>
    </row>
    <row r="143" spans="1:9" s="351" customFormat="1" hidden="1" x14ac:dyDescent="0.3">
      <c r="A143" s="983" t="s">
        <v>435</v>
      </c>
      <c r="B143" s="998"/>
      <c r="C143" s="324">
        <f>'[1]сходові клітки'!C59</f>
        <v>0</v>
      </c>
      <c r="D143" s="315"/>
      <c r="E143" s="305">
        <v>3.5000000000000003E-2</v>
      </c>
      <c r="F143" s="325">
        <v>5.0000000000000001E-3</v>
      </c>
      <c r="G143" s="305">
        <f>C143/100*E143*D143</f>
        <v>0</v>
      </c>
      <c r="H143" s="317">
        <f>C143/100*F143*D142:D143</f>
        <v>0</v>
      </c>
      <c r="I143" s="318" t="s">
        <v>436</v>
      </c>
    </row>
    <row r="144" spans="1:9" s="351" customFormat="1" hidden="1" x14ac:dyDescent="0.3">
      <c r="A144" s="983" t="s">
        <v>437</v>
      </c>
      <c r="B144" s="998"/>
      <c r="C144" s="324">
        <f>'[1]сходові клітки'!C60</f>
        <v>0</v>
      </c>
      <c r="D144" s="315"/>
      <c r="E144" s="305">
        <v>5.0000000000000001E-3</v>
      </c>
      <c r="F144" s="325">
        <v>5.0000000000000001E-3</v>
      </c>
      <c r="G144" s="305">
        <f>C144/100*E144*D144</f>
        <v>0</v>
      </c>
      <c r="H144" s="317">
        <f>C144/100*F144*D143:D144</f>
        <v>0</v>
      </c>
      <c r="I144" s="318" t="s">
        <v>438</v>
      </c>
    </row>
    <row r="145" spans="1:9" s="351" customFormat="1" hidden="1" x14ac:dyDescent="0.3">
      <c r="A145" s="983" t="s">
        <v>439</v>
      </c>
      <c r="B145" s="998"/>
      <c r="C145" s="324">
        <f>'[1]сходові клітки'!C61</f>
        <v>0</v>
      </c>
      <c r="D145" s="315"/>
      <c r="E145" s="305">
        <v>8.0000000000000002E-3</v>
      </c>
      <c r="F145" s="325">
        <v>4.1000000000000003E-3</v>
      </c>
      <c r="G145" s="305">
        <f>C145/100*E145*D145</f>
        <v>0</v>
      </c>
      <c r="H145" s="317">
        <f>C145/100*F145*D143:D145</f>
        <v>0</v>
      </c>
      <c r="I145" s="318" t="s">
        <v>440</v>
      </c>
    </row>
    <row r="146" spans="1:9" s="351" customFormat="1" hidden="1" x14ac:dyDescent="0.3">
      <c r="A146" s="983" t="s">
        <v>441</v>
      </c>
      <c r="B146" s="998"/>
      <c r="C146" s="324">
        <f>'[1]сходові клітки'!C62</f>
        <v>0</v>
      </c>
      <c r="D146" s="315"/>
      <c r="E146" s="327"/>
      <c r="F146" s="328">
        <v>7.7000000000000002E-3</v>
      </c>
      <c r="G146" s="327"/>
      <c r="H146" s="329"/>
      <c r="I146" s="330" t="s">
        <v>442</v>
      </c>
    </row>
    <row r="147" spans="1:9" s="351" customFormat="1" hidden="1" x14ac:dyDescent="0.3">
      <c r="A147" s="983" t="s">
        <v>443</v>
      </c>
      <c r="B147" s="998"/>
      <c r="C147" s="324">
        <f>'[1]сходові клітки'!C63</f>
        <v>0</v>
      </c>
      <c r="D147" s="331"/>
      <c r="E147" s="329">
        <v>0.05</v>
      </c>
      <c r="F147" s="328">
        <v>6.8999999999999999E-3</v>
      </c>
      <c r="G147" s="327">
        <f>C147/100*D147*E147</f>
        <v>0</v>
      </c>
      <c r="H147" s="329">
        <f>C147/100*F147*D147</f>
        <v>0</v>
      </c>
      <c r="I147" s="332" t="s">
        <v>444</v>
      </c>
    </row>
    <row r="148" spans="1:9" s="351" customFormat="1" hidden="1" x14ac:dyDescent="0.3">
      <c r="A148" s="983" t="s">
        <v>445</v>
      </c>
      <c r="B148" s="998"/>
      <c r="C148" s="324">
        <f>'[1]сходові клітки'!C64</f>
        <v>0</v>
      </c>
      <c r="D148" s="331"/>
      <c r="E148" s="329">
        <v>0.08</v>
      </c>
      <c r="F148" s="328">
        <v>3.2000000000000002E-3</v>
      </c>
      <c r="G148" s="327">
        <f>C148/100*D148*E148</f>
        <v>0</v>
      </c>
      <c r="H148" s="329">
        <f>C148/100*F148*D148</f>
        <v>0</v>
      </c>
      <c r="I148" s="332" t="s">
        <v>446</v>
      </c>
    </row>
    <row r="149" spans="1:9" s="351" customFormat="1" hidden="1" x14ac:dyDescent="0.3">
      <c r="A149" s="994" t="s">
        <v>447</v>
      </c>
      <c r="B149" s="999"/>
      <c r="C149" s="324">
        <f>'[1]сходові клітки'!C65</f>
        <v>0</v>
      </c>
      <c r="D149" s="331"/>
      <c r="E149" s="317">
        <v>6.0000000000000001E-3</v>
      </c>
      <c r="F149" s="325">
        <v>2.0000000000000001E-4</v>
      </c>
      <c r="G149" s="305">
        <f>C149/10*D149*E149</f>
        <v>0</v>
      </c>
      <c r="H149" s="317">
        <f>C149/10*F149*D149</f>
        <v>0</v>
      </c>
      <c r="I149" s="326" t="s">
        <v>448</v>
      </c>
    </row>
    <row r="150" spans="1:9" s="351" customFormat="1" hidden="1" x14ac:dyDescent="0.3">
      <c r="A150" s="992" t="s">
        <v>449</v>
      </c>
      <c r="B150" s="993"/>
      <c r="C150" s="324">
        <f>'[1]сходові клітки'!C66</f>
        <v>0</v>
      </c>
      <c r="D150" s="315"/>
      <c r="E150" s="305">
        <v>8.0000000000000002E-3</v>
      </c>
      <c r="F150" s="325">
        <v>0</v>
      </c>
      <c r="G150" s="305">
        <f t="shared" ref="G150:G159" si="18">C150/100*D150*E150</f>
        <v>0</v>
      </c>
      <c r="H150" s="317">
        <f t="shared" ref="H150:H159" si="19">C150/100*D150*F150</f>
        <v>0</v>
      </c>
      <c r="I150" s="326" t="str">
        <f>CONCATENATE("1-67-",[1]Расчет!$D$30+1)</f>
        <v>1-67-1</v>
      </c>
    </row>
    <row r="151" spans="1:9" s="351" customFormat="1" hidden="1" x14ac:dyDescent="0.3">
      <c r="A151" s="992" t="s">
        <v>450</v>
      </c>
      <c r="B151" s="993"/>
      <c r="C151" s="324">
        <f>'[1]сходові клітки'!C67</f>
        <v>0</v>
      </c>
      <c r="D151" s="315"/>
      <c r="E151" s="317">
        <v>8.0000000000000002E-3</v>
      </c>
      <c r="F151" s="325">
        <v>0</v>
      </c>
      <c r="G151" s="305">
        <f t="shared" si="18"/>
        <v>0</v>
      </c>
      <c r="H151" s="317">
        <f t="shared" si="19"/>
        <v>0</v>
      </c>
      <c r="I151" s="326" t="str">
        <f>CONCATENATE("1-68-",[1]Расчет!$D$30+1)</f>
        <v>1-68-1</v>
      </c>
    </row>
    <row r="152" spans="1:9" s="351" customFormat="1" hidden="1" x14ac:dyDescent="0.3">
      <c r="A152" s="994" t="s">
        <v>451</v>
      </c>
      <c r="B152" s="995"/>
      <c r="C152" s="324">
        <f>'[1]сходові клітки'!C68</f>
        <v>0</v>
      </c>
      <c r="D152" s="315"/>
      <c r="E152" s="317">
        <v>8.0000000000000002E-3</v>
      </c>
      <c r="F152" s="325">
        <v>0</v>
      </c>
      <c r="G152" s="305">
        <f t="shared" si="18"/>
        <v>0</v>
      </c>
      <c r="H152" s="317">
        <f t="shared" si="19"/>
        <v>0</v>
      </c>
      <c r="I152" s="326" t="str">
        <f>CONCATENATE("1-69-",IF([1]Расчет!$D$30&lt;=1,1,2))</f>
        <v>1-69-1</v>
      </c>
    </row>
    <row r="153" spans="1:9" s="351" customFormat="1" hidden="1" x14ac:dyDescent="0.3">
      <c r="A153" s="994" t="s">
        <v>452</v>
      </c>
      <c r="B153" s="995"/>
      <c r="C153" s="324">
        <f>'[1]сходові клітки'!C69</f>
        <v>0</v>
      </c>
      <c r="D153" s="315"/>
      <c r="E153" s="317">
        <v>0.06</v>
      </c>
      <c r="F153" s="325">
        <v>5.4999999999999997E-3</v>
      </c>
      <c r="G153" s="305">
        <f t="shared" si="18"/>
        <v>0</v>
      </c>
      <c r="H153" s="317">
        <f t="shared" si="19"/>
        <v>0</v>
      </c>
      <c r="I153" s="326" t="str">
        <f>CONCATENATE("1-71-",[1]Расчет!$D$30+1)</f>
        <v>1-71-1</v>
      </c>
    </row>
    <row r="154" spans="1:9" s="351" customFormat="1" hidden="1" x14ac:dyDescent="0.3">
      <c r="A154" s="996" t="s">
        <v>453</v>
      </c>
      <c r="B154" s="997"/>
      <c r="C154" s="324">
        <f>'[1]сходові клітки'!C70</f>
        <v>0</v>
      </c>
      <c r="D154" s="331"/>
      <c r="E154" s="329">
        <v>0.06</v>
      </c>
      <c r="F154" s="325">
        <v>5.1999999999999998E-3</v>
      </c>
      <c r="G154" s="327">
        <f t="shared" si="18"/>
        <v>0</v>
      </c>
      <c r="H154" s="329">
        <f t="shared" si="19"/>
        <v>0</v>
      </c>
      <c r="I154" s="332" t="str">
        <f>CONCATENATE("1-72-",[1]Расчет!$D$30+1)</f>
        <v>1-72-1</v>
      </c>
    </row>
    <row r="155" spans="1:9" s="351" customFormat="1" hidden="1" x14ac:dyDescent="0.3">
      <c r="A155" s="983" t="s">
        <v>454</v>
      </c>
      <c r="B155" s="998"/>
      <c r="C155" s="324">
        <f>'[1]сходові клітки'!C71</f>
        <v>0</v>
      </c>
      <c r="D155" s="331"/>
      <c r="E155" s="329">
        <v>0.05</v>
      </c>
      <c r="F155" s="328">
        <v>8.6999999999999994E-3</v>
      </c>
      <c r="G155" s="327">
        <f t="shared" si="18"/>
        <v>0</v>
      </c>
      <c r="H155" s="329">
        <f t="shared" si="19"/>
        <v>0</v>
      </c>
      <c r="I155" s="332" t="s">
        <v>455</v>
      </c>
    </row>
    <row r="156" spans="1:9" s="351" customFormat="1" hidden="1" x14ac:dyDescent="0.3">
      <c r="A156" s="983" t="s">
        <v>456</v>
      </c>
      <c r="B156" s="984"/>
      <c r="C156" s="324">
        <f>'[1]сходові клітки'!C72</f>
        <v>0</v>
      </c>
      <c r="D156" s="331"/>
      <c r="E156" s="329">
        <v>8.0000000000000002E-3</v>
      </c>
      <c r="F156" s="328">
        <v>0</v>
      </c>
      <c r="G156" s="327">
        <f t="shared" si="18"/>
        <v>0</v>
      </c>
      <c r="H156" s="329">
        <f t="shared" si="19"/>
        <v>0</v>
      </c>
      <c r="I156" s="332" t="s">
        <v>457</v>
      </c>
    </row>
    <row r="157" spans="1:9" s="351" customFormat="1" hidden="1" x14ac:dyDescent="0.3">
      <c r="A157" s="983" t="s">
        <v>458</v>
      </c>
      <c r="B157" s="984"/>
      <c r="C157" s="324">
        <f>'[1]сходові клітки'!C73</f>
        <v>0</v>
      </c>
      <c r="D157" s="331"/>
      <c r="E157" s="329">
        <v>0.06</v>
      </c>
      <c r="F157" s="328">
        <v>0</v>
      </c>
      <c r="G157" s="327">
        <f t="shared" si="18"/>
        <v>0</v>
      </c>
      <c r="H157" s="329">
        <f t="shared" si="19"/>
        <v>0</v>
      </c>
      <c r="I157" s="332" t="s">
        <v>459</v>
      </c>
    </row>
    <row r="158" spans="1:9" s="351" customFormat="1" hidden="1" x14ac:dyDescent="0.3">
      <c r="A158" s="983" t="s">
        <v>460</v>
      </c>
      <c r="B158" s="984"/>
      <c r="C158" s="324">
        <f>'[1]сходові клітки'!C74</f>
        <v>0</v>
      </c>
      <c r="D158" s="331"/>
      <c r="E158" s="329">
        <v>2.5000000000000001E-2</v>
      </c>
      <c r="F158" s="328">
        <v>5.0000000000000001E-3</v>
      </c>
      <c r="G158" s="327">
        <f t="shared" si="18"/>
        <v>0</v>
      </c>
      <c r="H158" s="329">
        <f t="shared" si="19"/>
        <v>0</v>
      </c>
      <c r="I158" s="332" t="s">
        <v>461</v>
      </c>
    </row>
    <row r="159" spans="1:9" s="351" customFormat="1" hidden="1" x14ac:dyDescent="0.3">
      <c r="A159" s="983" t="s">
        <v>462</v>
      </c>
      <c r="B159" s="984"/>
      <c r="C159" s="324">
        <f>'[1]сходові клітки'!C75</f>
        <v>0</v>
      </c>
      <c r="D159" s="331"/>
      <c r="E159" s="329">
        <v>0.06</v>
      </c>
      <c r="F159" s="328">
        <v>6.8999999999999999E-3</v>
      </c>
      <c r="G159" s="327">
        <f t="shared" si="18"/>
        <v>0</v>
      </c>
      <c r="H159" s="329">
        <f t="shared" si="19"/>
        <v>0</v>
      </c>
      <c r="I159" s="332" t="s">
        <v>463</v>
      </c>
    </row>
    <row r="160" spans="1:9" s="351" customFormat="1" hidden="1" x14ac:dyDescent="0.3">
      <c r="A160" s="985" t="s">
        <v>464</v>
      </c>
      <c r="B160" s="333" t="s">
        <v>108</v>
      </c>
      <c r="C160" s="333"/>
      <c r="D160" s="333"/>
      <c r="E160" s="334"/>
      <c r="F160" s="334"/>
      <c r="G160" s="334">
        <f>SUM(G121:G159)</f>
        <v>0</v>
      </c>
      <c r="H160" s="334">
        <f>SUM(H121:H159)</f>
        <v>0</v>
      </c>
      <c r="I160" s="988">
        <f>G162+H162</f>
        <v>0</v>
      </c>
    </row>
    <row r="161" spans="1:9" s="351" customFormat="1" hidden="1" x14ac:dyDescent="0.3">
      <c r="A161" s="986"/>
      <c r="B161" s="333" t="s">
        <v>328</v>
      </c>
      <c r="C161" s="333"/>
      <c r="D161" s="333"/>
      <c r="E161" s="333"/>
      <c r="F161" s="333"/>
      <c r="G161" s="334">
        <f>[1]Расчет!C26</f>
        <v>0</v>
      </c>
      <c r="H161" s="335">
        <v>6</v>
      </c>
      <c r="I161" s="982"/>
    </row>
    <row r="162" spans="1:9" s="351" customFormat="1" ht="15" hidden="1" thickBot="1" x14ac:dyDescent="0.35">
      <c r="A162" s="987"/>
      <c r="B162" s="336" t="s">
        <v>384</v>
      </c>
      <c r="C162" s="336"/>
      <c r="D162" s="336"/>
      <c r="E162" s="336"/>
      <c r="F162" s="336"/>
      <c r="G162" s="337">
        <f>G160*G161</f>
        <v>0</v>
      </c>
      <c r="H162" s="337">
        <f>H160*H161</f>
        <v>0</v>
      </c>
      <c r="I162" s="989"/>
    </row>
    <row r="163" spans="1:9" s="351" customFormat="1" hidden="1" x14ac:dyDescent="0.3">
      <c r="A163" s="990" t="s">
        <v>465</v>
      </c>
      <c r="B163" s="991"/>
      <c r="C163" s="991"/>
      <c r="D163" s="991"/>
      <c r="E163" s="991"/>
      <c r="F163" s="991"/>
      <c r="G163" s="991"/>
      <c r="H163" s="991"/>
      <c r="I163" s="991"/>
    </row>
    <row r="164" spans="1:9" s="351" customFormat="1" hidden="1" x14ac:dyDescent="0.3">
      <c r="A164" s="355"/>
      <c r="B164" s="338"/>
      <c r="C164" s="338"/>
      <c r="D164" s="338"/>
      <c r="E164" s="338"/>
      <c r="F164" s="338"/>
      <c r="G164" s="338"/>
      <c r="H164" s="338"/>
      <c r="I164" s="338"/>
    </row>
    <row r="165" spans="1:9" s="351" customFormat="1" hidden="1" x14ac:dyDescent="0.3">
      <c r="A165" s="962" t="s">
        <v>466</v>
      </c>
      <c r="B165" s="963"/>
      <c r="C165" s="963"/>
      <c r="D165" s="963"/>
      <c r="E165" s="963"/>
      <c r="F165" s="963"/>
      <c r="G165" s="963"/>
      <c r="H165" s="963"/>
      <c r="I165" s="963"/>
    </row>
    <row r="166" spans="1:9" s="351" customFormat="1" ht="15" hidden="1" thickBot="1" x14ac:dyDescent="0.35">
      <c r="A166" s="355"/>
      <c r="B166" s="338"/>
      <c r="C166" s="338"/>
      <c r="D166" s="338"/>
      <c r="E166" s="338"/>
      <c r="F166" s="338"/>
      <c r="G166" s="338"/>
      <c r="H166" s="338"/>
      <c r="I166" s="338"/>
    </row>
    <row r="167" spans="1:9" s="351" customFormat="1" hidden="1" x14ac:dyDescent="0.3">
      <c r="A167" s="964" t="s">
        <v>467</v>
      </c>
      <c r="B167" s="965"/>
      <c r="C167" s="968" t="s">
        <v>229</v>
      </c>
      <c r="D167" s="969" t="s">
        <v>230</v>
      </c>
      <c r="E167" s="979" t="s">
        <v>380</v>
      </c>
      <c r="F167" s="980"/>
      <c r="G167" s="981" t="s">
        <v>381</v>
      </c>
      <c r="H167" s="981"/>
      <c r="I167" s="972" t="s">
        <v>234</v>
      </c>
    </row>
    <row r="168" spans="1:9" s="351" customFormat="1" hidden="1" x14ac:dyDescent="0.3">
      <c r="A168" s="976"/>
      <c r="B168" s="977"/>
      <c r="C168" s="978"/>
      <c r="D168" s="978"/>
      <c r="E168" s="339" t="s">
        <v>382</v>
      </c>
      <c r="F168" s="340" t="s">
        <v>468</v>
      </c>
      <c r="G168" s="339" t="s">
        <v>382</v>
      </c>
      <c r="H168" s="341" t="s">
        <v>468</v>
      </c>
      <c r="I168" s="982"/>
    </row>
    <row r="169" spans="1:9" s="351" customFormat="1" hidden="1" x14ac:dyDescent="0.3">
      <c r="A169" s="333" t="s">
        <v>469</v>
      </c>
      <c r="B169" s="342"/>
      <c r="C169" s="342"/>
      <c r="D169" s="342"/>
      <c r="E169" s="339"/>
      <c r="F169" s="340"/>
      <c r="G169" s="339"/>
      <c r="H169" s="341"/>
      <c r="I169" s="343"/>
    </row>
    <row r="170" spans="1:9" s="351" customFormat="1" hidden="1" x14ac:dyDescent="0.3">
      <c r="A170" s="974">
        <f>[1]підвали!A33</f>
        <v>0</v>
      </c>
      <c r="B170" s="975"/>
      <c r="C170" s="344">
        <f>[1]підвали!C33</f>
        <v>0</v>
      </c>
      <c r="D170" s="345">
        <f>[1]підвали!D33</f>
        <v>970</v>
      </c>
      <c r="E170" s="346">
        <v>5.0000000000000001E-3</v>
      </c>
      <c r="F170" s="347">
        <v>1.2999999999999999E-3</v>
      </c>
      <c r="G170" s="348">
        <f>C170/100*E170*D170</f>
        <v>0</v>
      </c>
      <c r="H170" s="348">
        <f>C170/100*F170*D170</f>
        <v>0</v>
      </c>
      <c r="I170" s="349" t="s">
        <v>470</v>
      </c>
    </row>
    <row r="171" spans="1:9" s="351" customFormat="1" hidden="1" x14ac:dyDescent="0.3">
      <c r="A171" s="974">
        <f>[1]підвали!A34</f>
        <v>0</v>
      </c>
      <c r="B171" s="975"/>
      <c r="C171" s="344">
        <f>[1]підвали!C34</f>
        <v>0</v>
      </c>
      <c r="D171" s="345">
        <f>[1]підвали!D34</f>
        <v>0</v>
      </c>
      <c r="E171" s="346">
        <v>5.0000000000000001E-3</v>
      </c>
      <c r="F171" s="347">
        <v>1.6000000000000001E-3</v>
      </c>
      <c r="G171" s="348">
        <f>C171/100*E171*D171</f>
        <v>0</v>
      </c>
      <c r="H171" s="348">
        <f>C171/100*F171*D171</f>
        <v>0</v>
      </c>
      <c r="I171" s="349" t="s">
        <v>471</v>
      </c>
    </row>
    <row r="172" spans="1:9" s="351" customFormat="1" hidden="1" x14ac:dyDescent="0.3">
      <c r="A172" s="974">
        <f>[1]підвали!A35</f>
        <v>0</v>
      </c>
      <c r="B172" s="975"/>
      <c r="C172" s="344">
        <f>[1]підвали!C35</f>
        <v>0</v>
      </c>
      <c r="D172" s="345">
        <f>[1]підвали!D35</f>
        <v>0</v>
      </c>
      <c r="E172" s="346">
        <v>5.0000000000000001E-3</v>
      </c>
      <c r="F172" s="347">
        <v>1.9E-3</v>
      </c>
      <c r="G172" s="348">
        <f>C172/100*E172*D172</f>
        <v>0</v>
      </c>
      <c r="H172" s="348">
        <f>C172/100*F172*D172</f>
        <v>0</v>
      </c>
      <c r="I172" s="349" t="s">
        <v>472</v>
      </c>
    </row>
    <row r="173" spans="1:9" s="351" customFormat="1" hidden="1" x14ac:dyDescent="0.3">
      <c r="A173" s="974">
        <f>[1]підвали!A36</f>
        <v>0</v>
      </c>
      <c r="B173" s="975"/>
      <c r="C173" s="344">
        <f>[1]підвали!C36</f>
        <v>0</v>
      </c>
      <c r="D173" s="345">
        <f>[1]підвали!D36</f>
        <v>0</v>
      </c>
      <c r="E173" s="346">
        <v>5.0000000000000001E-3</v>
      </c>
      <c r="F173" s="347">
        <v>2.2000000000000001E-3</v>
      </c>
      <c r="G173" s="348">
        <f>C173/100*E173*D173</f>
        <v>0</v>
      </c>
      <c r="H173" s="348">
        <f>C173/100*F173*D173</f>
        <v>0</v>
      </c>
      <c r="I173" s="349" t="s">
        <v>473</v>
      </c>
    </row>
    <row r="174" spans="1:9" s="351" customFormat="1" hidden="1" x14ac:dyDescent="0.3">
      <c r="A174" s="949"/>
      <c r="B174" s="946"/>
      <c r="C174" s="933" t="s">
        <v>108</v>
      </c>
      <c r="D174" s="934"/>
      <c r="E174" s="339"/>
      <c r="F174" s="339"/>
      <c r="G174" s="306">
        <f>SUM(G170:G173)</f>
        <v>0</v>
      </c>
      <c r="H174" s="306">
        <f>SUM(H170:H173)</f>
        <v>0</v>
      </c>
      <c r="I174" s="959">
        <f>G176+H176</f>
        <v>0</v>
      </c>
    </row>
    <row r="175" spans="1:9" s="351" customFormat="1" hidden="1" x14ac:dyDescent="0.3">
      <c r="A175" s="950"/>
      <c r="B175" s="946"/>
      <c r="C175" s="933" t="s">
        <v>328</v>
      </c>
      <c r="D175" s="934"/>
      <c r="E175" s="339"/>
      <c r="F175" s="339"/>
      <c r="G175" s="306">
        <f>[1]Расчет!C26*0</f>
        <v>0</v>
      </c>
      <c r="H175" s="306">
        <v>0</v>
      </c>
      <c r="I175" s="960"/>
    </row>
    <row r="176" spans="1:9" s="351" customFormat="1" ht="15" hidden="1" thickBot="1" x14ac:dyDescent="0.35">
      <c r="A176" s="951"/>
      <c r="B176" s="952"/>
      <c r="C176" s="939" t="s">
        <v>384</v>
      </c>
      <c r="D176" s="940"/>
      <c r="E176" s="307"/>
      <c r="F176" s="307"/>
      <c r="G176" s="350">
        <f>G174*G175</f>
        <v>0</v>
      </c>
      <c r="H176" s="350">
        <f>H174*H175</f>
        <v>0</v>
      </c>
      <c r="I176" s="961"/>
    </row>
    <row r="177" spans="1:9" s="351" customFormat="1" hidden="1" x14ac:dyDescent="0.3">
      <c r="A177" s="356"/>
      <c r="B177" s="356"/>
      <c r="C177" s="357"/>
      <c r="D177" s="358"/>
      <c r="E177" s="338"/>
      <c r="F177" s="338"/>
      <c r="G177" s="353"/>
      <c r="H177" s="353"/>
      <c r="I177" s="359"/>
    </row>
    <row r="178" spans="1:9" s="351" customFormat="1" ht="15" hidden="1" thickBot="1" x14ac:dyDescent="0.35">
      <c r="A178" s="962" t="s">
        <v>474</v>
      </c>
      <c r="B178" s="963"/>
      <c r="C178" s="963"/>
      <c r="D178" s="963"/>
      <c r="E178" s="963"/>
      <c r="F178" s="963"/>
      <c r="G178" s="963"/>
      <c r="H178" s="963"/>
      <c r="I178" s="963"/>
    </row>
    <row r="179" spans="1:9" s="351" customFormat="1" hidden="1" x14ac:dyDescent="0.3">
      <c r="A179" s="964" t="s">
        <v>228</v>
      </c>
      <c r="B179" s="965"/>
      <c r="C179" s="968" t="s">
        <v>475</v>
      </c>
      <c r="D179" s="969" t="s">
        <v>379</v>
      </c>
      <c r="E179" s="970" t="s">
        <v>380</v>
      </c>
      <c r="F179" s="970"/>
      <c r="G179" s="971" t="s">
        <v>381</v>
      </c>
      <c r="H179" s="971"/>
      <c r="I179" s="972" t="s">
        <v>234</v>
      </c>
    </row>
    <row r="180" spans="1:9" s="351" customFormat="1" ht="15" hidden="1" thickBot="1" x14ac:dyDescent="0.35">
      <c r="A180" s="966"/>
      <c r="B180" s="967"/>
      <c r="C180" s="940"/>
      <c r="D180" s="940"/>
      <c r="E180" s="941" t="s">
        <v>476</v>
      </c>
      <c r="F180" s="942"/>
      <c r="G180" s="941" t="s">
        <v>476</v>
      </c>
      <c r="H180" s="942"/>
      <c r="I180" s="973"/>
    </row>
    <row r="181" spans="1:9" s="351" customFormat="1" hidden="1" x14ac:dyDescent="0.3">
      <c r="A181" s="955" t="s">
        <v>238</v>
      </c>
      <c r="B181" s="956"/>
      <c r="C181" s="323">
        <f>[1]Снег!C56</f>
        <v>0</v>
      </c>
      <c r="D181" s="319">
        <f>[1]Снег!D56</f>
        <v>0</v>
      </c>
      <c r="E181" s="957">
        <v>1.4999999999999999E-2</v>
      </c>
      <c r="F181" s="958"/>
      <c r="G181" s="957">
        <f xml:space="preserve"> C181/100*D181*E181</f>
        <v>0</v>
      </c>
      <c r="H181" s="958"/>
      <c r="I181" s="360" t="s">
        <v>477</v>
      </c>
    </row>
    <row r="182" spans="1:9" s="351" customFormat="1" hidden="1" x14ac:dyDescent="0.3">
      <c r="A182" s="945" t="s">
        <v>239</v>
      </c>
      <c r="B182" s="946"/>
      <c r="C182" s="324">
        <f>[1]Снег!C57</f>
        <v>0</v>
      </c>
      <c r="D182" s="315">
        <f>[1]Снег!D57</f>
        <v>60</v>
      </c>
      <c r="E182" s="947">
        <v>1.7000000000000001E-2</v>
      </c>
      <c r="F182" s="948"/>
      <c r="G182" s="947">
        <f xml:space="preserve"> C182/100*D182*E182</f>
        <v>0</v>
      </c>
      <c r="H182" s="948"/>
      <c r="I182" s="361" t="s">
        <v>478</v>
      </c>
    </row>
    <row r="183" spans="1:9" s="351" customFormat="1" hidden="1" x14ac:dyDescent="0.3">
      <c r="A183" s="945" t="s">
        <v>240</v>
      </c>
      <c r="B183" s="946"/>
      <c r="C183" s="324">
        <v>0</v>
      </c>
      <c r="D183" s="315">
        <f>[1]Снег!D58</f>
        <v>0</v>
      </c>
      <c r="E183" s="947">
        <v>0.02</v>
      </c>
      <c r="F183" s="948"/>
      <c r="G183" s="947">
        <f xml:space="preserve"> C183/100*D183*E183</f>
        <v>0</v>
      </c>
      <c r="H183" s="948"/>
      <c r="I183" s="361" t="s">
        <v>479</v>
      </c>
    </row>
    <row r="184" spans="1:9" s="351" customFormat="1" hidden="1" x14ac:dyDescent="0.3">
      <c r="A184" s="949"/>
      <c r="B184" s="946"/>
      <c r="C184" s="933" t="s">
        <v>108</v>
      </c>
      <c r="D184" s="934"/>
      <c r="E184" s="935"/>
      <c r="F184" s="936"/>
      <c r="G184" s="953">
        <f>SUM(G181:G183)</f>
        <v>0</v>
      </c>
      <c r="H184" s="954"/>
      <c r="I184" s="930">
        <f>G186</f>
        <v>0</v>
      </c>
    </row>
    <row r="185" spans="1:9" s="351" customFormat="1" hidden="1" x14ac:dyDescent="0.3">
      <c r="A185" s="950"/>
      <c r="B185" s="946"/>
      <c r="C185" s="933" t="s">
        <v>328</v>
      </c>
      <c r="D185" s="934"/>
      <c r="E185" s="935"/>
      <c r="F185" s="936"/>
      <c r="G185" s="937">
        <v>197.79</v>
      </c>
      <c r="H185" s="938"/>
      <c r="I185" s="931"/>
    </row>
    <row r="186" spans="1:9" s="351" customFormat="1" ht="15" hidden="1" thickBot="1" x14ac:dyDescent="0.35">
      <c r="A186" s="951"/>
      <c r="B186" s="952"/>
      <c r="C186" s="939" t="s">
        <v>384</v>
      </c>
      <c r="D186" s="940"/>
      <c r="E186" s="941"/>
      <c r="F186" s="942"/>
      <c r="G186" s="943">
        <f>G184*G185</f>
        <v>0</v>
      </c>
      <c r="H186" s="944"/>
      <c r="I186" s="932"/>
    </row>
  </sheetData>
  <mergeCells count="211">
    <mergeCell ref="A2:C2"/>
    <mergeCell ref="A3:I3"/>
    <mergeCell ref="A4:I4"/>
    <mergeCell ref="B5:E5"/>
    <mergeCell ref="F5:G5"/>
    <mergeCell ref="H5:I5"/>
    <mergeCell ref="B31:C31"/>
    <mergeCell ref="B22:C22"/>
    <mergeCell ref="B24:C24"/>
    <mergeCell ref="A14:C14"/>
    <mergeCell ref="A15:C15"/>
    <mergeCell ref="A16:C16"/>
    <mergeCell ref="A17:I17"/>
    <mergeCell ref="B18:C18"/>
    <mergeCell ref="A19:A33"/>
    <mergeCell ref="B19:C19"/>
    <mergeCell ref="B20:C20"/>
    <mergeCell ref="B21:C21"/>
    <mergeCell ref="B25:C25"/>
    <mergeCell ref="B26:C26"/>
    <mergeCell ref="B27:C27"/>
    <mergeCell ref="B28:C28"/>
    <mergeCell ref="B29:C29"/>
    <mergeCell ref="B23:C23"/>
    <mergeCell ref="B30:C30"/>
    <mergeCell ref="B32:C32"/>
    <mergeCell ref="B33:H33"/>
    <mergeCell ref="A34:A41"/>
    <mergeCell ref="B34:C34"/>
    <mergeCell ref="B35:C35"/>
    <mergeCell ref="B36:C36"/>
    <mergeCell ref="B37:C37"/>
    <mergeCell ref="B38:C38"/>
    <mergeCell ref="B39:C39"/>
    <mergeCell ref="B40:C40"/>
    <mergeCell ref="B41:H41"/>
    <mergeCell ref="B42:C42"/>
    <mergeCell ref="A43:A59"/>
    <mergeCell ref="B43:C43"/>
    <mergeCell ref="B44:C44"/>
    <mergeCell ref="B45:C45"/>
    <mergeCell ref="B46:C46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50:C50"/>
    <mergeCell ref="B51:C51"/>
    <mergeCell ref="B52:C52"/>
    <mergeCell ref="B59:H59"/>
    <mergeCell ref="A75:A79"/>
    <mergeCell ref="B75:C75"/>
    <mergeCell ref="B76:C76"/>
    <mergeCell ref="B77:C77"/>
    <mergeCell ref="B78:C78"/>
    <mergeCell ref="B79:H79"/>
    <mergeCell ref="B68:C68"/>
    <mergeCell ref="B69:C69"/>
    <mergeCell ref="B70:C70"/>
    <mergeCell ref="B71:C71"/>
    <mergeCell ref="B72:C72"/>
    <mergeCell ref="B73:C73"/>
    <mergeCell ref="A60:A74"/>
    <mergeCell ref="B60:C60"/>
    <mergeCell ref="B61:C61"/>
    <mergeCell ref="B62:C62"/>
    <mergeCell ref="B63:C63"/>
    <mergeCell ref="B64:C64"/>
    <mergeCell ref="B65:C65"/>
    <mergeCell ref="B66:C66"/>
    <mergeCell ref="B67:C67"/>
    <mergeCell ref="B74:H74"/>
    <mergeCell ref="A99:F99"/>
    <mergeCell ref="A100:B100"/>
    <mergeCell ref="A101:B101"/>
    <mergeCell ref="A102:B102"/>
    <mergeCell ref="A103:B105"/>
    <mergeCell ref="C103:D103"/>
    <mergeCell ref="B88:H88"/>
    <mergeCell ref="A95:I95"/>
    <mergeCell ref="A96:I96"/>
    <mergeCell ref="A97:B98"/>
    <mergeCell ref="C97:C98"/>
    <mergeCell ref="D97:D98"/>
    <mergeCell ref="E97:F97"/>
    <mergeCell ref="G97:H97"/>
    <mergeCell ref="A80:A88"/>
    <mergeCell ref="B80:C80"/>
    <mergeCell ref="B81:C81"/>
    <mergeCell ref="B82:C82"/>
    <mergeCell ref="B83:C83"/>
    <mergeCell ref="B84:C84"/>
    <mergeCell ref="B85:C85"/>
    <mergeCell ref="B86:C86"/>
    <mergeCell ref="B87:C87"/>
    <mergeCell ref="A109:D109"/>
    <mergeCell ref="E109:G109"/>
    <mergeCell ref="A111:A114"/>
    <mergeCell ref="B111:C111"/>
    <mergeCell ref="B112:C112"/>
    <mergeCell ref="B113:C113"/>
    <mergeCell ref="B114:D114"/>
    <mergeCell ref="I103:I105"/>
    <mergeCell ref="C104:D104"/>
    <mergeCell ref="C105:D105"/>
    <mergeCell ref="A106:B106"/>
    <mergeCell ref="A107:A108"/>
    <mergeCell ref="B107:C107"/>
    <mergeCell ref="D107:D108"/>
    <mergeCell ref="E107:F107"/>
    <mergeCell ref="G107:G108"/>
    <mergeCell ref="H107:I107"/>
    <mergeCell ref="A121:B121"/>
    <mergeCell ref="A122:B122"/>
    <mergeCell ref="A123:C123"/>
    <mergeCell ref="A124:B124"/>
    <mergeCell ref="A125:B125"/>
    <mergeCell ref="A126:B126"/>
    <mergeCell ref="B115:D115"/>
    <mergeCell ref="A118:I118"/>
    <mergeCell ref="A119:B120"/>
    <mergeCell ref="C119:C120"/>
    <mergeCell ref="D119:D120"/>
    <mergeCell ref="E119:F119"/>
    <mergeCell ref="G119:H119"/>
    <mergeCell ref="A133:B133"/>
    <mergeCell ref="A134:B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C131"/>
    <mergeCell ref="A132:B132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B144"/>
    <mergeCell ref="A157:B157"/>
    <mergeCell ref="A158:B158"/>
    <mergeCell ref="A159:B159"/>
    <mergeCell ref="A160:A162"/>
    <mergeCell ref="I160:I162"/>
    <mergeCell ref="A163:I163"/>
    <mergeCell ref="A151:B151"/>
    <mergeCell ref="A152:B152"/>
    <mergeCell ref="A153:B153"/>
    <mergeCell ref="A154:B154"/>
    <mergeCell ref="A155:B155"/>
    <mergeCell ref="A156:B156"/>
    <mergeCell ref="A170:B170"/>
    <mergeCell ref="A171:B171"/>
    <mergeCell ref="A172:B172"/>
    <mergeCell ref="A173:B173"/>
    <mergeCell ref="A174:B176"/>
    <mergeCell ref="C174:D174"/>
    <mergeCell ref="A165:I165"/>
    <mergeCell ref="A167:B168"/>
    <mergeCell ref="C167:C168"/>
    <mergeCell ref="D167:D168"/>
    <mergeCell ref="E167:F167"/>
    <mergeCell ref="G167:H167"/>
    <mergeCell ref="I167:I168"/>
    <mergeCell ref="E180:F180"/>
    <mergeCell ref="G180:H180"/>
    <mergeCell ref="A181:B181"/>
    <mergeCell ref="E181:F181"/>
    <mergeCell ref="G181:H181"/>
    <mergeCell ref="A182:B182"/>
    <mergeCell ref="E182:F182"/>
    <mergeCell ref="G182:H182"/>
    <mergeCell ref="I174:I176"/>
    <mergeCell ref="C175:D175"/>
    <mergeCell ref="C176:D176"/>
    <mergeCell ref="A178:I178"/>
    <mergeCell ref="A179:B180"/>
    <mergeCell ref="C179:C180"/>
    <mergeCell ref="D179:D180"/>
    <mergeCell ref="E179:F179"/>
    <mergeCell ref="G179:H179"/>
    <mergeCell ref="I179:I180"/>
    <mergeCell ref="I184:I186"/>
    <mergeCell ref="C185:D185"/>
    <mergeCell ref="E185:F185"/>
    <mergeCell ref="G185:H185"/>
    <mergeCell ref="C186:D186"/>
    <mergeCell ref="E186:F186"/>
    <mergeCell ref="G186:H186"/>
    <mergeCell ref="A183:B183"/>
    <mergeCell ref="E183:F183"/>
    <mergeCell ref="G183:H183"/>
    <mergeCell ref="A184:B186"/>
    <mergeCell ref="C184:D184"/>
    <mergeCell ref="E184:F184"/>
    <mergeCell ref="G184:H184"/>
  </mergeCells>
  <pageMargins left="0.7" right="0.7" top="0.75" bottom="0.75" header="0.3" footer="0.3"/>
  <pageSetup paperSize="9" scale="66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519D5-6304-4490-A5BB-872639C43F0D}">
  <dimension ref="A1:L156"/>
  <sheetViews>
    <sheetView topLeftCell="A2" zoomScaleNormal="100" workbookViewId="0">
      <selection activeCell="E14" sqref="E14"/>
    </sheetView>
  </sheetViews>
  <sheetFormatPr defaultRowHeight="14.4" x14ac:dyDescent="0.3"/>
  <cols>
    <col min="1" max="1" width="10.109375" bestFit="1" customWidth="1"/>
    <col min="8" max="8" width="15.33203125" customWidth="1"/>
    <col min="9" max="9" width="12.77734375" customWidth="1"/>
    <col min="10" max="10" width="12.5546875" customWidth="1"/>
    <col min="12" max="12" width="15.21875" customWidth="1"/>
  </cols>
  <sheetData>
    <row r="1" spans="1:12" x14ac:dyDescent="0.3">
      <c r="A1" s="1143" t="str">
        <f>[1]Таблица_Характеристика!C3</f>
        <v>КП "Житлово-експлуатаційна контора "</v>
      </c>
      <c r="B1" s="1143"/>
      <c r="C1" s="1143"/>
      <c r="D1" s="1143"/>
      <c r="E1" s="1143"/>
      <c r="F1" s="1143"/>
      <c r="G1" s="1143"/>
      <c r="H1" s="1143"/>
      <c r="I1" s="37"/>
      <c r="J1" s="37"/>
      <c r="K1" s="37"/>
      <c r="L1" s="37"/>
    </row>
    <row r="2" spans="1:12" x14ac:dyDescent="0.3">
      <c r="A2" s="162"/>
      <c r="B2" s="162"/>
      <c r="C2" s="162"/>
      <c r="D2" s="162"/>
      <c r="E2" s="162"/>
      <c r="F2" s="162"/>
      <c r="G2" s="162"/>
      <c r="H2" s="162"/>
      <c r="I2" s="162"/>
      <c r="J2" s="163" t="s">
        <v>184</v>
      </c>
      <c r="K2" s="37"/>
      <c r="L2" s="37"/>
    </row>
    <row r="3" spans="1:12" x14ac:dyDescent="0.3">
      <c r="A3" s="164"/>
      <c r="B3" s="37"/>
      <c r="C3" s="37"/>
      <c r="D3" s="37"/>
      <c r="E3" s="164"/>
      <c r="F3" s="164"/>
      <c r="G3" s="164"/>
      <c r="H3" s="164"/>
      <c r="I3" s="164"/>
      <c r="J3" s="165" t="s">
        <v>185</v>
      </c>
      <c r="K3" s="164"/>
      <c r="L3" s="37"/>
    </row>
    <row r="4" spans="1:12" ht="15.6" x14ac:dyDescent="0.3">
      <c r="A4" s="166" t="s">
        <v>186</v>
      </c>
      <c r="B4" s="37"/>
      <c r="C4" s="37"/>
      <c r="D4" s="37"/>
      <c r="E4" s="166"/>
      <c r="F4" s="166"/>
      <c r="G4" s="164"/>
      <c r="H4" s="164"/>
      <c r="I4" s="164"/>
      <c r="J4" s="164"/>
      <c r="K4" s="164"/>
      <c r="L4" s="37"/>
    </row>
    <row r="5" spans="1:12" ht="25.2" customHeight="1" x14ac:dyDescent="0.3">
      <c r="A5" s="1144" t="s">
        <v>210</v>
      </c>
      <c r="B5" s="1145"/>
      <c r="C5" s="1145"/>
      <c r="D5" s="1145"/>
      <c r="E5" s="1145"/>
      <c r="F5" s="1145"/>
      <c r="G5" s="1145"/>
      <c r="H5" s="1145"/>
      <c r="I5" s="1145"/>
      <c r="J5" s="1145"/>
      <c r="K5" s="1145"/>
      <c r="L5" s="1145"/>
    </row>
    <row r="6" spans="1:12" ht="157.19999999999999" customHeight="1" x14ac:dyDescent="0.3">
      <c r="A6" s="1146" t="s">
        <v>187</v>
      </c>
      <c r="B6" s="1147"/>
      <c r="C6" s="1147"/>
      <c r="D6" s="1148"/>
      <c r="E6" s="167" t="s">
        <v>188</v>
      </c>
      <c r="F6" s="1149" t="s">
        <v>285</v>
      </c>
      <c r="G6" s="1150"/>
      <c r="H6" s="168" t="s">
        <v>189</v>
      </c>
      <c r="I6" s="168" t="s">
        <v>190</v>
      </c>
      <c r="J6" s="167" t="s">
        <v>191</v>
      </c>
      <c r="K6" s="167" t="s">
        <v>192</v>
      </c>
      <c r="L6" s="169" t="s">
        <v>193</v>
      </c>
    </row>
    <row r="7" spans="1:12" x14ac:dyDescent="0.3">
      <c r="A7" s="1135" t="s">
        <v>194</v>
      </c>
      <c r="B7" s="1136"/>
      <c r="C7" s="1136"/>
      <c r="D7" s="1137"/>
      <c r="E7" s="170">
        <v>1</v>
      </c>
      <c r="F7" s="1138">
        <f>$D$26</f>
        <v>2032</v>
      </c>
      <c r="G7" s="1139"/>
      <c r="H7" s="171">
        <v>1.6</v>
      </c>
      <c r="I7" s="171">
        <v>1.26</v>
      </c>
      <c r="J7" s="171">
        <f>IF(E7=1,A17,IF(E7=2,B17,IF(E7=3,C17,IF(E7=4,D17,IF(E7=5,E17,F17)))))</f>
        <v>1</v>
      </c>
      <c r="K7" s="171">
        <v>4173</v>
      </c>
      <c r="L7" s="172" t="s">
        <v>195</v>
      </c>
    </row>
    <row r="8" spans="1:12" x14ac:dyDescent="0.3">
      <c r="A8" s="1135" t="s">
        <v>196</v>
      </c>
      <c r="B8" s="1136"/>
      <c r="C8" s="1136"/>
      <c r="D8" s="1137"/>
      <c r="E8" s="170">
        <v>3</v>
      </c>
      <c r="F8" s="1138">
        <f t="shared" ref="F8:F12" si="0">$D$26</f>
        <v>2032</v>
      </c>
      <c r="G8" s="1139"/>
      <c r="H8" s="171">
        <v>1.6</v>
      </c>
      <c r="I8" s="171">
        <v>1.46</v>
      </c>
      <c r="J8" s="171">
        <v>1.2</v>
      </c>
      <c r="K8" s="171">
        <f>ROUND(F8*H8*I8*J8,0)</f>
        <v>5696</v>
      </c>
      <c r="L8" s="172" t="s">
        <v>195</v>
      </c>
    </row>
    <row r="9" spans="1:12" x14ac:dyDescent="0.3">
      <c r="A9" s="1135" t="s">
        <v>197</v>
      </c>
      <c r="B9" s="1136"/>
      <c r="C9" s="1136"/>
      <c r="D9" s="1137"/>
      <c r="E9" s="170">
        <v>5</v>
      </c>
      <c r="F9" s="1138">
        <f t="shared" si="0"/>
        <v>2032</v>
      </c>
      <c r="G9" s="1139"/>
      <c r="H9" s="171">
        <v>1.6</v>
      </c>
      <c r="I9" s="171">
        <v>1.46</v>
      </c>
      <c r="J9" s="171">
        <v>1.54</v>
      </c>
      <c r="K9" s="171">
        <f t="shared" ref="K9:K12" si="1">ROUND(F9*H9*I9*J9,0)</f>
        <v>7310</v>
      </c>
      <c r="L9" s="172" t="s">
        <v>195</v>
      </c>
    </row>
    <row r="10" spans="1:12" x14ac:dyDescent="0.3">
      <c r="A10" s="1135" t="s">
        <v>198</v>
      </c>
      <c r="B10" s="1136"/>
      <c r="C10" s="1136"/>
      <c r="D10" s="1137"/>
      <c r="E10" s="170">
        <v>5</v>
      </c>
      <c r="F10" s="1138">
        <f t="shared" si="0"/>
        <v>2032</v>
      </c>
      <c r="G10" s="1139"/>
      <c r="H10" s="171">
        <v>1.6</v>
      </c>
      <c r="I10" s="171">
        <v>1.46</v>
      </c>
      <c r="J10" s="171">
        <v>1.54</v>
      </c>
      <c r="K10" s="171">
        <f t="shared" si="1"/>
        <v>7310</v>
      </c>
      <c r="L10" s="172" t="s">
        <v>195</v>
      </c>
    </row>
    <row r="11" spans="1:12" x14ac:dyDescent="0.3">
      <c r="A11" s="1135" t="s">
        <v>199</v>
      </c>
      <c r="B11" s="1136"/>
      <c r="C11" s="1136"/>
      <c r="D11" s="1137"/>
      <c r="E11" s="170">
        <v>5</v>
      </c>
      <c r="F11" s="1138">
        <f t="shared" si="0"/>
        <v>2032</v>
      </c>
      <c r="G11" s="1139"/>
      <c r="H11" s="171">
        <v>1.6</v>
      </c>
      <c r="I11" s="171">
        <v>1.46</v>
      </c>
      <c r="J11" s="171">
        <v>1.54</v>
      </c>
      <c r="K11" s="171">
        <f t="shared" si="1"/>
        <v>7310</v>
      </c>
      <c r="L11" s="172" t="s">
        <v>195</v>
      </c>
    </row>
    <row r="12" spans="1:12" x14ac:dyDescent="0.3">
      <c r="A12" s="1135" t="s">
        <v>196</v>
      </c>
      <c r="B12" s="1136"/>
      <c r="C12" s="1136"/>
      <c r="D12" s="1137"/>
      <c r="E12" s="170">
        <v>5</v>
      </c>
      <c r="F12" s="1138">
        <f t="shared" si="0"/>
        <v>2032</v>
      </c>
      <c r="G12" s="1139"/>
      <c r="H12" s="171">
        <v>1.6</v>
      </c>
      <c r="I12" s="171">
        <v>1.46</v>
      </c>
      <c r="J12" s="171">
        <v>1.54</v>
      </c>
      <c r="K12" s="171">
        <f t="shared" si="1"/>
        <v>7310</v>
      </c>
      <c r="L12" s="172" t="s">
        <v>195</v>
      </c>
    </row>
    <row r="13" spans="1:12" hidden="1" x14ac:dyDescent="0.3">
      <c r="A13" s="1140" t="s">
        <v>200</v>
      </c>
      <c r="B13" s="779"/>
      <c r="C13" s="779"/>
      <c r="D13" s="779"/>
      <c r="E13" s="170"/>
      <c r="F13" s="1141"/>
      <c r="G13" s="1142"/>
      <c r="H13" s="171"/>
      <c r="I13" s="171"/>
      <c r="J13" s="171">
        <v>1</v>
      </c>
      <c r="K13" s="171">
        <f>F13*H13*I13*J13</f>
        <v>0</v>
      </c>
      <c r="L13" s="172" t="s">
        <v>201</v>
      </c>
    </row>
    <row r="14" spans="1:12" x14ac:dyDescent="0.3">
      <c r="A14" s="173" t="s">
        <v>202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</row>
    <row r="15" spans="1:12" x14ac:dyDescent="0.3">
      <c r="A15" s="37"/>
      <c r="B15" s="37"/>
      <c r="C15" s="173" t="s">
        <v>203</v>
      </c>
      <c r="D15" s="37"/>
      <c r="E15" s="37"/>
      <c r="F15" s="37"/>
      <c r="G15" s="37"/>
      <c r="H15" s="37"/>
      <c r="I15" s="37"/>
      <c r="J15" s="37"/>
      <c r="K15" s="37"/>
      <c r="L15" s="37"/>
    </row>
    <row r="16" spans="1:12" x14ac:dyDescent="0.3">
      <c r="A16" s="174" t="s">
        <v>204</v>
      </c>
      <c r="B16" s="174" t="s">
        <v>205</v>
      </c>
      <c r="C16" s="174" t="s">
        <v>206</v>
      </c>
      <c r="D16" s="174" t="s">
        <v>207</v>
      </c>
      <c r="E16" s="174" t="s">
        <v>208</v>
      </c>
      <c r="F16" s="174" t="s">
        <v>209</v>
      </c>
      <c r="G16" s="37"/>
      <c r="H16" s="37"/>
      <c r="I16" s="37"/>
      <c r="J16" s="37"/>
      <c r="K16" s="37"/>
      <c r="L16" s="37"/>
    </row>
    <row r="17" spans="1:12" x14ac:dyDescent="0.3">
      <c r="A17" s="175">
        <v>1</v>
      </c>
      <c r="B17" s="175">
        <v>1.08</v>
      </c>
      <c r="C17" s="175">
        <v>1.2</v>
      </c>
      <c r="D17" s="175">
        <v>1.35</v>
      </c>
      <c r="E17" s="175">
        <v>1.54</v>
      </c>
      <c r="F17" s="175">
        <v>1.8</v>
      </c>
      <c r="G17" s="37"/>
      <c r="H17" s="37"/>
      <c r="I17" s="37"/>
      <c r="J17" s="37"/>
      <c r="K17" s="37"/>
      <c r="L17" s="37"/>
    </row>
    <row r="18" spans="1:12" x14ac:dyDescent="0.3">
      <c r="A18" s="239" t="s">
        <v>831</v>
      </c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</row>
    <row r="19" spans="1:12" x14ac:dyDescent="0.3">
      <c r="A19" s="239" t="s">
        <v>286</v>
      </c>
      <c r="B19" s="239"/>
      <c r="C19" s="239"/>
      <c r="D19" s="239"/>
      <c r="E19" s="239"/>
      <c r="F19" s="239"/>
      <c r="G19" s="239"/>
      <c r="H19" s="239"/>
      <c r="I19" s="239"/>
      <c r="J19" s="239"/>
      <c r="K19" s="239"/>
      <c r="L19" s="239"/>
    </row>
    <row r="20" spans="1:12" x14ac:dyDescent="0.3">
      <c r="A20" s="239" t="s">
        <v>287</v>
      </c>
      <c r="B20" s="239"/>
      <c r="C20" s="239"/>
      <c r="D20" s="239"/>
      <c r="E20" s="239"/>
      <c r="F20" s="239"/>
      <c r="G20" s="239"/>
      <c r="H20" s="239"/>
      <c r="I20" s="239"/>
      <c r="J20" s="239"/>
      <c r="K20" s="239"/>
      <c r="L20" s="239"/>
    </row>
    <row r="21" spans="1:12" x14ac:dyDescent="0.3">
      <c r="A21" s="240" t="s">
        <v>288</v>
      </c>
      <c r="B21" s="240" t="s">
        <v>289</v>
      </c>
      <c r="C21" s="240" t="s">
        <v>290</v>
      </c>
      <c r="D21" s="240" t="s">
        <v>291</v>
      </c>
      <c r="E21" s="239"/>
      <c r="F21" s="239"/>
      <c r="G21" s="239"/>
      <c r="H21" s="239"/>
      <c r="I21" s="239"/>
      <c r="J21" s="239"/>
      <c r="K21" s="239"/>
      <c r="L21" s="239"/>
    </row>
    <row r="22" spans="1:12" x14ac:dyDescent="0.3">
      <c r="A22" s="241">
        <v>43586</v>
      </c>
      <c r="B22" s="242">
        <v>1921</v>
      </c>
      <c r="C22" s="243">
        <v>2</v>
      </c>
      <c r="D22" s="242">
        <f>B22*C22</f>
        <v>3842</v>
      </c>
      <c r="E22" s="239"/>
      <c r="F22" s="239"/>
      <c r="G22" s="239"/>
      <c r="H22" s="239"/>
      <c r="I22" s="239"/>
      <c r="J22" s="239"/>
      <c r="K22" s="239"/>
      <c r="L22" s="239"/>
    </row>
    <row r="23" spans="1:12" x14ac:dyDescent="0.3">
      <c r="A23" s="241">
        <v>43647</v>
      </c>
      <c r="B23" s="242">
        <v>2007</v>
      </c>
      <c r="C23" s="243">
        <v>5</v>
      </c>
      <c r="D23" s="242">
        <f t="shared" ref="D23:D24" si="2">B23*C23</f>
        <v>10035</v>
      </c>
      <c r="E23" s="239"/>
      <c r="F23" s="239"/>
      <c r="G23" s="239"/>
      <c r="H23" s="239"/>
      <c r="I23" s="239"/>
      <c r="J23" s="239"/>
      <c r="K23" s="239"/>
      <c r="L23" s="239"/>
    </row>
    <row r="24" spans="1:12" x14ac:dyDescent="0.3">
      <c r="A24" s="241">
        <v>43800</v>
      </c>
      <c r="B24" s="242">
        <v>2102</v>
      </c>
      <c r="C24" s="243">
        <v>5</v>
      </c>
      <c r="D24" s="242">
        <f t="shared" si="2"/>
        <v>10510</v>
      </c>
      <c r="E24" s="239"/>
      <c r="F24" s="239"/>
      <c r="G24" s="239"/>
      <c r="H24" s="239"/>
      <c r="I24" s="239"/>
      <c r="J24" s="239"/>
      <c r="K24" s="239"/>
      <c r="L24" s="239"/>
    </row>
    <row r="25" spans="1:12" x14ac:dyDescent="0.3">
      <c r="A25" s="240"/>
      <c r="B25" s="240"/>
      <c r="C25" s="243">
        <f>SUM(C22:C24)</f>
        <v>12</v>
      </c>
      <c r="D25" s="242">
        <f>SUM(D22:D24)</f>
        <v>24387</v>
      </c>
      <c r="E25" s="239"/>
      <c r="F25" s="239"/>
      <c r="G25" s="239"/>
      <c r="H25" s="239"/>
      <c r="I25" s="239"/>
      <c r="J25" s="239"/>
      <c r="K25" s="239"/>
      <c r="L25" s="239"/>
    </row>
    <row r="26" spans="1:12" x14ac:dyDescent="0.3">
      <c r="A26" s="244" t="s">
        <v>292</v>
      </c>
      <c r="B26" s="244"/>
      <c r="C26" s="244"/>
      <c r="D26" s="245">
        <f>ROUND(D25/C25,0)</f>
        <v>2032</v>
      </c>
      <c r="E26" s="239"/>
      <c r="F26" s="239"/>
      <c r="G26" s="239"/>
      <c r="H26" s="239"/>
      <c r="I26" s="239"/>
      <c r="J26" s="239"/>
      <c r="K26" s="239"/>
      <c r="L26" s="239"/>
    </row>
    <row r="27" spans="1:12" x14ac:dyDescent="0.3">
      <c r="A27" s="239"/>
      <c r="B27" s="239"/>
      <c r="C27" s="239"/>
      <c r="D27" s="239"/>
      <c r="E27" s="239"/>
      <c r="F27" s="239"/>
      <c r="G27" s="239"/>
      <c r="H27" s="239"/>
      <c r="I27" s="239"/>
      <c r="J27" s="239"/>
      <c r="K27" s="239"/>
      <c r="L27" s="239"/>
    </row>
    <row r="28" spans="1:12" x14ac:dyDescent="0.3">
      <c r="A28" s="239"/>
      <c r="B28" s="239"/>
      <c r="C28" s="239"/>
      <c r="D28" s="239"/>
      <c r="E28" s="239"/>
      <c r="F28" s="239"/>
      <c r="G28" s="239"/>
      <c r="H28" s="239"/>
      <c r="I28" s="239"/>
      <c r="J28" s="239"/>
      <c r="K28" s="239"/>
      <c r="L28" s="239"/>
    </row>
    <row r="29" spans="1:12" x14ac:dyDescent="0.3">
      <c r="A29" s="239"/>
      <c r="B29" s="239"/>
      <c r="C29" s="239"/>
      <c r="D29" s="239"/>
      <c r="E29" s="239"/>
      <c r="F29" s="239"/>
      <c r="G29" s="239"/>
      <c r="H29" s="239"/>
      <c r="I29" s="239"/>
      <c r="J29" s="239"/>
      <c r="K29" s="239"/>
      <c r="L29" s="239"/>
    </row>
    <row r="30" spans="1:12" x14ac:dyDescent="0.3">
      <c r="A30" s="239"/>
      <c r="B30" s="239"/>
      <c r="C30" s="239"/>
      <c r="D30" s="239"/>
      <c r="E30" s="239"/>
      <c r="F30" s="239"/>
      <c r="G30" s="239"/>
      <c r="H30" s="239"/>
      <c r="I30" s="239"/>
      <c r="J30" s="239"/>
      <c r="K30" s="239"/>
      <c r="L30" s="239"/>
    </row>
    <row r="31" spans="1:12" x14ac:dyDescent="0.3">
      <c r="A31" s="239"/>
      <c r="B31" s="239"/>
      <c r="C31" s="239"/>
      <c r="D31" s="239"/>
      <c r="E31" s="239"/>
      <c r="F31" s="239"/>
      <c r="G31" s="239"/>
      <c r="H31" s="239"/>
      <c r="I31" s="239"/>
      <c r="J31" s="239"/>
      <c r="K31" s="239"/>
      <c r="L31" s="239"/>
    </row>
    <row r="32" spans="1:12" x14ac:dyDescent="0.3">
      <c r="A32" s="239"/>
      <c r="B32" s="239"/>
      <c r="C32" s="239"/>
      <c r="D32" s="239"/>
      <c r="E32" s="239"/>
      <c r="F32" s="239"/>
      <c r="G32" s="239"/>
      <c r="H32" s="239"/>
      <c r="I32" s="239"/>
      <c r="J32" s="239"/>
      <c r="K32" s="239"/>
      <c r="L32" s="239"/>
    </row>
    <row r="33" spans="1:12" x14ac:dyDescent="0.3">
      <c r="A33" s="239"/>
      <c r="B33" s="239"/>
      <c r="C33" s="239"/>
      <c r="D33" s="239"/>
      <c r="E33" s="239"/>
      <c r="F33" s="239"/>
      <c r="G33" s="239"/>
      <c r="H33" s="239"/>
      <c r="I33" s="239"/>
      <c r="J33" s="239"/>
      <c r="K33" s="239"/>
      <c r="L33" s="239"/>
    </row>
    <row r="34" spans="1:12" x14ac:dyDescent="0.3">
      <c r="A34" s="239"/>
      <c r="B34" s="239"/>
      <c r="C34" s="239"/>
      <c r="D34" s="239"/>
      <c r="E34" s="239"/>
      <c r="F34" s="239"/>
      <c r="G34" s="239"/>
      <c r="H34" s="239"/>
      <c r="I34" s="239"/>
      <c r="J34" s="239"/>
      <c r="K34" s="239"/>
      <c r="L34" s="239"/>
    </row>
    <row r="35" spans="1:12" x14ac:dyDescent="0.3">
      <c r="A35" s="239"/>
      <c r="B35" s="239"/>
      <c r="C35" s="239"/>
      <c r="D35" s="239"/>
      <c r="E35" s="239"/>
      <c r="F35" s="239"/>
      <c r="G35" s="239"/>
      <c r="H35" s="239"/>
      <c r="I35" s="239"/>
      <c r="J35" s="239"/>
      <c r="K35" s="239"/>
      <c r="L35" s="239"/>
    </row>
    <row r="36" spans="1:12" x14ac:dyDescent="0.3">
      <c r="A36" s="239"/>
      <c r="B36" s="239"/>
      <c r="C36" s="239"/>
      <c r="D36" s="239"/>
      <c r="E36" s="239"/>
      <c r="F36" s="239"/>
      <c r="G36" s="239"/>
      <c r="H36" s="239"/>
      <c r="I36" s="239"/>
      <c r="J36" s="239"/>
      <c r="K36" s="239"/>
      <c r="L36" s="239"/>
    </row>
    <row r="37" spans="1:12" x14ac:dyDescent="0.3">
      <c r="A37" s="239"/>
      <c r="B37" s="239"/>
      <c r="C37" s="239"/>
      <c r="D37" s="239"/>
      <c r="E37" s="239"/>
      <c r="F37" s="239"/>
      <c r="G37" s="239"/>
      <c r="H37" s="239"/>
      <c r="I37" s="239"/>
      <c r="J37" s="239"/>
      <c r="K37" s="239"/>
      <c r="L37" s="239"/>
    </row>
    <row r="38" spans="1:12" x14ac:dyDescent="0.3">
      <c r="A38" s="239"/>
      <c r="B38" s="239"/>
      <c r="C38" s="239"/>
      <c r="D38" s="239"/>
      <c r="E38" s="239"/>
      <c r="F38" s="239"/>
      <c r="G38" s="239"/>
      <c r="H38" s="239"/>
      <c r="I38" s="239"/>
      <c r="J38" s="239"/>
      <c r="K38" s="239"/>
      <c r="L38" s="239"/>
    </row>
    <row r="39" spans="1:12" x14ac:dyDescent="0.3">
      <c r="A39" s="239"/>
      <c r="B39" s="239"/>
      <c r="C39" s="239"/>
      <c r="D39" s="239"/>
      <c r="E39" s="239"/>
      <c r="F39" s="239"/>
      <c r="G39" s="239"/>
      <c r="H39" s="239"/>
      <c r="I39" s="239"/>
      <c r="J39" s="239"/>
      <c r="K39" s="239"/>
      <c r="L39" s="239"/>
    </row>
    <row r="40" spans="1:12" x14ac:dyDescent="0.3">
      <c r="A40" s="239"/>
      <c r="B40" s="239"/>
      <c r="C40" s="239"/>
      <c r="D40" s="239"/>
      <c r="E40" s="239"/>
      <c r="F40" s="239"/>
      <c r="G40" s="239"/>
      <c r="H40" s="239"/>
      <c r="I40" s="239"/>
      <c r="J40" s="239"/>
      <c r="K40" s="239"/>
      <c r="L40" s="239"/>
    </row>
    <row r="41" spans="1:12" x14ac:dyDescent="0.3">
      <c r="A41" s="239"/>
      <c r="B41" s="239"/>
      <c r="C41" s="239"/>
      <c r="D41" s="239"/>
      <c r="E41" s="239"/>
      <c r="F41" s="239"/>
      <c r="G41" s="239"/>
      <c r="H41" s="239"/>
      <c r="I41" s="239"/>
      <c r="J41" s="239"/>
      <c r="K41" s="239"/>
      <c r="L41" s="239"/>
    </row>
    <row r="42" spans="1:12" x14ac:dyDescent="0.3">
      <c r="A42" s="239"/>
      <c r="B42" s="239"/>
      <c r="C42" s="239"/>
      <c r="D42" s="239"/>
      <c r="E42" s="239"/>
      <c r="F42" s="239"/>
      <c r="G42" s="239"/>
      <c r="H42" s="239"/>
      <c r="I42" s="239"/>
      <c r="J42" s="239"/>
      <c r="K42" s="239"/>
      <c r="L42" s="239"/>
    </row>
    <row r="43" spans="1:12" x14ac:dyDescent="0.3">
      <c r="A43" s="239"/>
      <c r="B43" s="239"/>
      <c r="C43" s="239"/>
      <c r="D43" s="239"/>
      <c r="E43" s="239"/>
      <c r="F43" s="239"/>
      <c r="G43" s="239"/>
      <c r="H43" s="239"/>
      <c r="I43" s="239"/>
      <c r="J43" s="239"/>
      <c r="K43" s="239"/>
      <c r="L43" s="239"/>
    </row>
    <row r="44" spans="1:12" x14ac:dyDescent="0.3">
      <c r="A44" s="239"/>
      <c r="B44" s="239"/>
      <c r="C44" s="239"/>
      <c r="D44" s="239"/>
      <c r="E44" s="239"/>
      <c r="F44" s="239"/>
      <c r="G44" s="239"/>
      <c r="H44" s="239"/>
      <c r="I44" s="239"/>
      <c r="J44" s="239"/>
      <c r="K44" s="239"/>
      <c r="L44" s="239"/>
    </row>
    <row r="45" spans="1:12" x14ac:dyDescent="0.3">
      <c r="A45" s="239"/>
      <c r="B45" s="239"/>
      <c r="C45" s="239"/>
      <c r="D45" s="239"/>
      <c r="E45" s="239"/>
      <c r="F45" s="239"/>
      <c r="G45" s="239"/>
      <c r="H45" s="239"/>
      <c r="I45" s="239"/>
      <c r="J45" s="239"/>
      <c r="K45" s="239"/>
      <c r="L45" s="239"/>
    </row>
    <row r="46" spans="1:12" x14ac:dyDescent="0.3">
      <c r="A46" s="239"/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</row>
    <row r="47" spans="1:12" x14ac:dyDescent="0.3">
      <c r="A47" s="239"/>
      <c r="B47" s="239"/>
      <c r="C47" s="239"/>
      <c r="D47" s="239"/>
      <c r="E47" s="239"/>
      <c r="F47" s="239"/>
      <c r="G47" s="239"/>
      <c r="H47" s="239"/>
      <c r="I47" s="239"/>
      <c r="J47" s="239"/>
      <c r="K47" s="239"/>
      <c r="L47" s="239"/>
    </row>
    <row r="48" spans="1:12" x14ac:dyDescent="0.3">
      <c r="A48" s="239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</row>
    <row r="49" spans="1:12" x14ac:dyDescent="0.3">
      <c r="A49" s="239"/>
      <c r="B49" s="239"/>
      <c r="C49" s="239"/>
      <c r="D49" s="239"/>
      <c r="E49" s="239"/>
      <c r="F49" s="239"/>
      <c r="G49" s="239"/>
      <c r="H49" s="239"/>
      <c r="I49" s="239"/>
      <c r="J49" s="239"/>
      <c r="K49" s="239"/>
      <c r="L49" s="239"/>
    </row>
    <row r="50" spans="1:12" x14ac:dyDescent="0.3">
      <c r="A50" s="239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</row>
    <row r="51" spans="1:12" x14ac:dyDescent="0.3">
      <c r="A51" s="239"/>
      <c r="B51" s="239"/>
      <c r="C51" s="239"/>
      <c r="D51" s="239"/>
      <c r="E51" s="239"/>
      <c r="F51" s="239"/>
      <c r="G51" s="239"/>
      <c r="H51" s="239"/>
      <c r="I51" s="239"/>
      <c r="J51" s="239"/>
      <c r="K51" s="239"/>
      <c r="L51" s="239"/>
    </row>
    <row r="52" spans="1:12" x14ac:dyDescent="0.3">
      <c r="A52" s="239"/>
      <c r="B52" s="239"/>
      <c r="C52" s="239"/>
      <c r="D52" s="239"/>
      <c r="E52" s="239"/>
      <c r="F52" s="239"/>
      <c r="G52" s="239"/>
      <c r="H52" s="239"/>
      <c r="I52" s="239"/>
      <c r="J52" s="239"/>
      <c r="K52" s="239"/>
      <c r="L52" s="239"/>
    </row>
    <row r="53" spans="1:12" x14ac:dyDescent="0.3">
      <c r="A53" s="239"/>
      <c r="B53" s="239"/>
      <c r="C53" s="239"/>
      <c r="D53" s="239"/>
      <c r="E53" s="239"/>
      <c r="F53" s="239"/>
      <c r="G53" s="239"/>
      <c r="H53" s="239"/>
      <c r="I53" s="239"/>
      <c r="J53" s="239"/>
      <c r="K53" s="239"/>
      <c r="L53" s="239"/>
    </row>
    <row r="54" spans="1:12" x14ac:dyDescent="0.3">
      <c r="A54" s="239"/>
      <c r="B54" s="239"/>
      <c r="C54" s="239"/>
      <c r="D54" s="239"/>
      <c r="E54" s="239"/>
      <c r="F54" s="239"/>
      <c r="G54" s="239"/>
      <c r="H54" s="239"/>
      <c r="I54" s="239"/>
      <c r="J54" s="239"/>
      <c r="K54" s="239"/>
      <c r="L54" s="239"/>
    </row>
    <row r="55" spans="1:12" x14ac:dyDescent="0.3">
      <c r="A55" s="239"/>
      <c r="B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</row>
    <row r="56" spans="1:12" x14ac:dyDescent="0.3">
      <c r="A56" s="239"/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</row>
    <row r="57" spans="1:12" x14ac:dyDescent="0.3">
      <c r="A57" s="239"/>
      <c r="B57" s="239"/>
      <c r="C57" s="239"/>
      <c r="D57" s="239"/>
      <c r="E57" s="239"/>
      <c r="F57" s="239"/>
      <c r="G57" s="239"/>
      <c r="H57" s="239"/>
      <c r="I57" s="239"/>
      <c r="J57" s="239"/>
      <c r="K57" s="239"/>
      <c r="L57" s="239"/>
    </row>
    <row r="58" spans="1:12" x14ac:dyDescent="0.3">
      <c r="A58" s="239"/>
      <c r="B58" s="239"/>
      <c r="C58" s="239"/>
      <c r="D58" s="239"/>
      <c r="E58" s="239"/>
      <c r="F58" s="239"/>
      <c r="G58" s="239"/>
      <c r="H58" s="239"/>
      <c r="I58" s="239"/>
      <c r="J58" s="239"/>
      <c r="K58" s="239"/>
      <c r="L58" s="239"/>
    </row>
    <row r="59" spans="1:12" x14ac:dyDescent="0.3">
      <c r="A59" s="239"/>
      <c r="B59" s="239"/>
      <c r="C59" s="239"/>
      <c r="D59" s="239"/>
      <c r="E59" s="239"/>
      <c r="F59" s="239"/>
      <c r="G59" s="239"/>
      <c r="H59" s="239"/>
      <c r="I59" s="239"/>
      <c r="J59" s="239"/>
      <c r="K59" s="239"/>
      <c r="L59" s="239"/>
    </row>
    <row r="60" spans="1:12" x14ac:dyDescent="0.3">
      <c r="A60" s="239"/>
      <c r="B60" s="239"/>
      <c r="C60" s="239"/>
      <c r="D60" s="239"/>
      <c r="E60" s="239"/>
      <c r="F60" s="239"/>
      <c r="G60" s="239"/>
      <c r="H60" s="239"/>
      <c r="I60" s="239"/>
      <c r="J60" s="239"/>
      <c r="K60" s="239"/>
      <c r="L60" s="239"/>
    </row>
    <row r="61" spans="1:12" x14ac:dyDescent="0.3">
      <c r="A61" s="239"/>
      <c r="B61" s="239"/>
      <c r="C61" s="239"/>
      <c r="D61" s="239"/>
      <c r="E61" s="239"/>
      <c r="F61" s="239"/>
      <c r="G61" s="239"/>
      <c r="H61" s="239"/>
      <c r="I61" s="239"/>
      <c r="J61" s="239"/>
      <c r="K61" s="239"/>
      <c r="L61" s="239"/>
    </row>
    <row r="62" spans="1:12" x14ac:dyDescent="0.3">
      <c r="A62" s="239"/>
      <c r="B62" s="239"/>
      <c r="C62" s="239"/>
      <c r="D62" s="239"/>
      <c r="E62" s="239"/>
      <c r="F62" s="239"/>
      <c r="G62" s="239"/>
      <c r="H62" s="239"/>
      <c r="I62" s="239"/>
      <c r="J62" s="239"/>
      <c r="K62" s="239"/>
      <c r="L62" s="239"/>
    </row>
    <row r="63" spans="1:12" x14ac:dyDescent="0.3">
      <c r="A63" s="239"/>
      <c r="B63" s="239"/>
      <c r="C63" s="239"/>
      <c r="D63" s="239"/>
      <c r="E63" s="239"/>
      <c r="F63" s="239"/>
      <c r="G63" s="239"/>
      <c r="H63" s="239"/>
      <c r="I63" s="239"/>
      <c r="J63" s="239"/>
      <c r="K63" s="239"/>
      <c r="L63" s="239"/>
    </row>
    <row r="64" spans="1:12" x14ac:dyDescent="0.3">
      <c r="A64" s="239"/>
      <c r="B64" s="239"/>
      <c r="C64" s="239"/>
      <c r="D64" s="239"/>
      <c r="E64" s="239"/>
      <c r="F64" s="239"/>
      <c r="G64" s="239"/>
      <c r="H64" s="239"/>
      <c r="I64" s="239"/>
      <c r="J64" s="239"/>
      <c r="K64" s="239"/>
      <c r="L64" s="239"/>
    </row>
    <row r="65" spans="1:12" x14ac:dyDescent="0.3">
      <c r="A65" s="239"/>
      <c r="B65" s="239"/>
      <c r="C65" s="239"/>
      <c r="D65" s="239"/>
      <c r="E65" s="239"/>
      <c r="F65" s="239"/>
      <c r="G65" s="239"/>
      <c r="H65" s="239"/>
      <c r="I65" s="239"/>
      <c r="J65" s="239"/>
      <c r="K65" s="239"/>
      <c r="L65" s="239"/>
    </row>
    <row r="66" spans="1:12" x14ac:dyDescent="0.3">
      <c r="A66" s="239"/>
      <c r="B66" s="239"/>
      <c r="C66" s="239"/>
      <c r="D66" s="239"/>
      <c r="E66" s="239"/>
      <c r="F66" s="239"/>
      <c r="G66" s="239"/>
      <c r="H66" s="239"/>
      <c r="I66" s="239"/>
      <c r="J66" s="239"/>
      <c r="K66" s="239"/>
      <c r="L66" s="239"/>
    </row>
    <row r="67" spans="1:12" x14ac:dyDescent="0.3">
      <c r="A67" s="239"/>
      <c r="B67" s="239"/>
      <c r="C67" s="239"/>
      <c r="D67" s="239"/>
      <c r="E67" s="239"/>
      <c r="F67" s="239"/>
      <c r="G67" s="239"/>
      <c r="H67" s="239"/>
      <c r="I67" s="239"/>
      <c r="J67" s="239"/>
      <c r="K67" s="239"/>
      <c r="L67" s="239"/>
    </row>
    <row r="68" spans="1:12" x14ac:dyDescent="0.3">
      <c r="A68" s="239"/>
      <c r="B68" s="239"/>
      <c r="C68" s="239"/>
      <c r="D68" s="239"/>
      <c r="E68" s="239"/>
      <c r="F68" s="239"/>
      <c r="G68" s="239"/>
      <c r="H68" s="239"/>
      <c r="I68" s="239"/>
      <c r="J68" s="239"/>
      <c r="K68" s="239"/>
      <c r="L68" s="239"/>
    </row>
    <row r="69" spans="1:12" x14ac:dyDescent="0.3">
      <c r="A69" s="239"/>
      <c r="B69" s="239"/>
      <c r="C69" s="239"/>
      <c r="D69" s="239"/>
      <c r="E69" s="239"/>
      <c r="F69" s="239"/>
      <c r="G69" s="239"/>
      <c r="H69" s="239"/>
      <c r="I69" s="239"/>
      <c r="J69" s="239"/>
      <c r="K69" s="239"/>
      <c r="L69" s="239"/>
    </row>
    <row r="70" spans="1:12" x14ac:dyDescent="0.3">
      <c r="A70" s="239"/>
      <c r="B70" s="239"/>
      <c r="C70" s="239"/>
      <c r="D70" s="239"/>
      <c r="E70" s="239"/>
      <c r="F70" s="239"/>
      <c r="G70" s="239"/>
      <c r="H70" s="239"/>
      <c r="I70" s="239"/>
      <c r="J70" s="239"/>
      <c r="K70" s="239"/>
      <c r="L70" s="239"/>
    </row>
    <row r="71" spans="1:12" x14ac:dyDescent="0.3">
      <c r="A71" s="239"/>
      <c r="B71" s="239"/>
      <c r="C71" s="239"/>
      <c r="D71" s="239"/>
      <c r="E71" s="239"/>
      <c r="F71" s="239"/>
      <c r="G71" s="239"/>
      <c r="H71" s="239"/>
      <c r="I71" s="239"/>
      <c r="J71" s="239"/>
      <c r="K71" s="239"/>
      <c r="L71" s="239"/>
    </row>
    <row r="72" spans="1:12" x14ac:dyDescent="0.3">
      <c r="A72" s="239"/>
      <c r="B72" s="239"/>
      <c r="C72" s="239"/>
      <c r="D72" s="239"/>
      <c r="E72" s="239"/>
      <c r="F72" s="239"/>
      <c r="G72" s="239"/>
      <c r="H72" s="239"/>
      <c r="I72" s="239"/>
      <c r="J72" s="239"/>
      <c r="K72" s="239"/>
      <c r="L72" s="239"/>
    </row>
    <row r="73" spans="1:12" x14ac:dyDescent="0.3">
      <c r="A73" s="239"/>
      <c r="B73" s="239"/>
      <c r="C73" s="239"/>
      <c r="D73" s="239"/>
      <c r="E73" s="239"/>
      <c r="F73" s="239"/>
      <c r="G73" s="239"/>
      <c r="H73" s="239"/>
      <c r="I73" s="239"/>
      <c r="J73" s="239"/>
      <c r="K73" s="239"/>
      <c r="L73" s="239"/>
    </row>
    <row r="74" spans="1:12" x14ac:dyDescent="0.3">
      <c r="A74" s="239"/>
      <c r="B74" s="239"/>
      <c r="C74" s="239"/>
      <c r="D74" s="239"/>
      <c r="E74" s="239"/>
      <c r="F74" s="239"/>
      <c r="G74" s="239"/>
      <c r="H74" s="239"/>
      <c r="I74" s="239"/>
      <c r="J74" s="239"/>
      <c r="K74" s="239"/>
      <c r="L74" s="239"/>
    </row>
    <row r="75" spans="1:12" x14ac:dyDescent="0.3">
      <c r="A75" s="239"/>
      <c r="B75" s="239"/>
      <c r="C75" s="239"/>
      <c r="D75" s="239"/>
      <c r="E75" s="239"/>
      <c r="F75" s="239"/>
      <c r="G75" s="239"/>
      <c r="H75" s="239"/>
      <c r="I75" s="239"/>
      <c r="J75" s="239"/>
      <c r="K75" s="239"/>
      <c r="L75" s="239"/>
    </row>
    <row r="76" spans="1:12" x14ac:dyDescent="0.3">
      <c r="A76" s="239"/>
      <c r="B76" s="239"/>
      <c r="C76" s="239"/>
      <c r="D76" s="239"/>
      <c r="E76" s="239"/>
      <c r="F76" s="239"/>
      <c r="G76" s="239"/>
      <c r="H76" s="239"/>
      <c r="I76" s="239"/>
      <c r="J76" s="239"/>
      <c r="K76" s="239"/>
      <c r="L76" s="239"/>
    </row>
    <row r="77" spans="1:12" x14ac:dyDescent="0.3">
      <c r="A77" s="239"/>
      <c r="B77" s="239"/>
      <c r="C77" s="239"/>
      <c r="D77" s="239"/>
      <c r="E77" s="239"/>
      <c r="F77" s="239"/>
      <c r="G77" s="239"/>
      <c r="H77" s="239"/>
      <c r="I77" s="239"/>
      <c r="J77" s="239"/>
      <c r="K77" s="239"/>
      <c r="L77" s="239"/>
    </row>
    <row r="78" spans="1:12" x14ac:dyDescent="0.3">
      <c r="A78" s="239"/>
      <c r="B78" s="239"/>
      <c r="C78" s="239"/>
      <c r="D78" s="239"/>
      <c r="E78" s="239"/>
      <c r="F78" s="239"/>
      <c r="G78" s="239"/>
      <c r="H78" s="239"/>
      <c r="I78" s="239"/>
      <c r="J78" s="239"/>
      <c r="K78" s="239"/>
      <c r="L78" s="239"/>
    </row>
    <row r="79" spans="1:12" x14ac:dyDescent="0.3">
      <c r="A79" s="239"/>
      <c r="B79" s="239"/>
      <c r="C79" s="239"/>
      <c r="D79" s="239"/>
      <c r="E79" s="239"/>
      <c r="F79" s="239"/>
      <c r="G79" s="239"/>
      <c r="H79" s="239"/>
      <c r="I79" s="239"/>
      <c r="J79" s="239"/>
      <c r="K79" s="239"/>
      <c r="L79" s="239"/>
    </row>
    <row r="80" spans="1:12" x14ac:dyDescent="0.3">
      <c r="A80" s="239"/>
      <c r="B80" s="239"/>
      <c r="C80" s="239"/>
      <c r="D80" s="239"/>
      <c r="E80" s="239"/>
      <c r="F80" s="239"/>
      <c r="G80" s="239"/>
      <c r="H80" s="239"/>
      <c r="I80" s="239"/>
      <c r="J80" s="239"/>
      <c r="K80" s="239"/>
      <c r="L80" s="239"/>
    </row>
    <row r="81" spans="1:12" x14ac:dyDescent="0.3">
      <c r="A81" s="239"/>
      <c r="B81" s="239"/>
      <c r="C81" s="239"/>
      <c r="D81" s="239"/>
      <c r="E81" s="239"/>
      <c r="F81" s="239"/>
      <c r="G81" s="239"/>
      <c r="H81" s="239"/>
      <c r="I81" s="239"/>
      <c r="J81" s="239"/>
      <c r="K81" s="239"/>
      <c r="L81" s="239"/>
    </row>
    <row r="82" spans="1:12" x14ac:dyDescent="0.3">
      <c r="A82" s="239"/>
      <c r="B82" s="239"/>
      <c r="C82" s="239"/>
      <c r="D82" s="239"/>
      <c r="E82" s="239"/>
      <c r="F82" s="239"/>
      <c r="G82" s="239"/>
      <c r="H82" s="239"/>
      <c r="I82" s="239"/>
      <c r="J82" s="239"/>
      <c r="K82" s="239"/>
      <c r="L82" s="239"/>
    </row>
    <row r="83" spans="1:12" x14ac:dyDescent="0.3">
      <c r="A83" s="239"/>
      <c r="B83" s="239"/>
      <c r="C83" s="239"/>
      <c r="D83" s="239"/>
      <c r="E83" s="239"/>
      <c r="F83" s="239"/>
      <c r="G83" s="239"/>
      <c r="H83" s="239"/>
      <c r="I83" s="239"/>
      <c r="J83" s="239"/>
      <c r="K83" s="239"/>
      <c r="L83" s="239"/>
    </row>
    <row r="84" spans="1:12" x14ac:dyDescent="0.3">
      <c r="A84" s="239"/>
      <c r="B84" s="239"/>
      <c r="C84" s="239"/>
      <c r="D84" s="239"/>
      <c r="E84" s="239"/>
      <c r="F84" s="239"/>
      <c r="G84" s="239"/>
      <c r="H84" s="239"/>
      <c r="I84" s="239"/>
      <c r="J84" s="239"/>
      <c r="K84" s="239"/>
      <c r="L84" s="239"/>
    </row>
    <row r="85" spans="1:12" x14ac:dyDescent="0.3">
      <c r="A85" s="239"/>
      <c r="B85" s="239"/>
      <c r="C85" s="239"/>
      <c r="D85" s="239"/>
      <c r="E85" s="239"/>
      <c r="F85" s="239"/>
      <c r="G85" s="239"/>
      <c r="H85" s="239"/>
      <c r="I85" s="239"/>
      <c r="J85" s="239"/>
      <c r="K85" s="239"/>
      <c r="L85" s="239"/>
    </row>
    <row r="86" spans="1:12" x14ac:dyDescent="0.3">
      <c r="A86" s="239"/>
      <c r="B86" s="239"/>
      <c r="C86" s="239"/>
      <c r="D86" s="239"/>
      <c r="E86" s="239"/>
      <c r="F86" s="239"/>
      <c r="G86" s="239"/>
      <c r="H86" s="239"/>
      <c r="I86" s="239"/>
      <c r="J86" s="239"/>
      <c r="K86" s="239"/>
      <c r="L86" s="239"/>
    </row>
    <row r="87" spans="1:12" x14ac:dyDescent="0.3">
      <c r="A87" s="239"/>
      <c r="B87" s="239"/>
      <c r="C87" s="239"/>
      <c r="D87" s="239"/>
      <c r="E87" s="239"/>
      <c r="F87" s="239"/>
      <c r="G87" s="239"/>
      <c r="H87" s="239"/>
      <c r="I87" s="239"/>
      <c r="J87" s="239"/>
      <c r="K87" s="239"/>
      <c r="L87" s="239"/>
    </row>
    <row r="88" spans="1:12" x14ac:dyDescent="0.3">
      <c r="A88" s="239"/>
      <c r="B88" s="239"/>
      <c r="C88" s="239"/>
      <c r="D88" s="239"/>
      <c r="E88" s="239"/>
      <c r="F88" s="239"/>
      <c r="G88" s="239"/>
      <c r="H88" s="239"/>
      <c r="I88" s="239"/>
      <c r="J88" s="239"/>
      <c r="K88" s="239"/>
      <c r="L88" s="239"/>
    </row>
    <row r="89" spans="1:12" x14ac:dyDescent="0.3">
      <c r="A89" s="239"/>
      <c r="B89" s="239"/>
      <c r="C89" s="239"/>
      <c r="D89" s="239"/>
      <c r="E89" s="239"/>
      <c r="F89" s="239"/>
      <c r="G89" s="239"/>
      <c r="H89" s="239"/>
      <c r="I89" s="239"/>
      <c r="J89" s="239"/>
      <c r="K89" s="239"/>
      <c r="L89" s="239"/>
    </row>
    <row r="90" spans="1:12" x14ac:dyDescent="0.3">
      <c r="A90" s="239"/>
      <c r="B90" s="239"/>
      <c r="C90" s="239"/>
      <c r="D90" s="239"/>
      <c r="E90" s="239"/>
      <c r="F90" s="239"/>
      <c r="G90" s="239"/>
      <c r="H90" s="239"/>
      <c r="I90" s="239"/>
      <c r="J90" s="239"/>
      <c r="K90" s="239"/>
      <c r="L90" s="239"/>
    </row>
    <row r="91" spans="1:12" x14ac:dyDescent="0.3">
      <c r="A91" s="239"/>
      <c r="B91" s="239"/>
      <c r="C91" s="239"/>
      <c r="D91" s="239"/>
      <c r="E91" s="239"/>
      <c r="F91" s="239"/>
      <c r="G91" s="239"/>
      <c r="H91" s="239"/>
      <c r="I91" s="239"/>
      <c r="J91" s="239"/>
      <c r="K91" s="239"/>
      <c r="L91" s="239"/>
    </row>
    <row r="92" spans="1:12" x14ac:dyDescent="0.3">
      <c r="A92" s="239"/>
      <c r="B92" s="239"/>
      <c r="C92" s="239"/>
      <c r="D92" s="239"/>
      <c r="E92" s="239"/>
      <c r="F92" s="239"/>
      <c r="G92" s="239"/>
      <c r="H92" s="239"/>
      <c r="I92" s="239"/>
      <c r="J92" s="239"/>
      <c r="K92" s="239"/>
      <c r="L92" s="239"/>
    </row>
    <row r="93" spans="1:12" x14ac:dyDescent="0.3">
      <c r="A93" s="239"/>
      <c r="B93" s="239"/>
      <c r="C93" s="239"/>
      <c r="D93" s="239"/>
      <c r="E93" s="239"/>
      <c r="F93" s="239"/>
      <c r="G93" s="239"/>
      <c r="H93" s="239"/>
      <c r="I93" s="239"/>
      <c r="J93" s="239"/>
      <c r="K93" s="239"/>
      <c r="L93" s="239"/>
    </row>
    <row r="94" spans="1:12" x14ac:dyDescent="0.3">
      <c r="A94" s="239"/>
      <c r="B94" s="239"/>
      <c r="C94" s="239"/>
      <c r="D94" s="239"/>
      <c r="E94" s="239"/>
      <c r="F94" s="239"/>
      <c r="G94" s="239"/>
      <c r="H94" s="239"/>
      <c r="I94" s="239"/>
      <c r="J94" s="239"/>
      <c r="K94" s="239"/>
      <c r="L94" s="239"/>
    </row>
    <row r="95" spans="1:12" x14ac:dyDescent="0.3">
      <c r="A95" s="239"/>
      <c r="B95" s="239"/>
      <c r="C95" s="239"/>
      <c r="D95" s="239"/>
      <c r="E95" s="239"/>
      <c r="F95" s="239"/>
      <c r="G95" s="239"/>
      <c r="H95" s="239"/>
      <c r="I95" s="239"/>
      <c r="J95" s="239"/>
      <c r="K95" s="239"/>
      <c r="L95" s="239"/>
    </row>
    <row r="96" spans="1:12" x14ac:dyDescent="0.3">
      <c r="A96" s="239"/>
      <c r="B96" s="239"/>
      <c r="C96" s="239"/>
      <c r="D96" s="239"/>
      <c r="E96" s="239"/>
      <c r="F96" s="239"/>
      <c r="G96" s="239"/>
      <c r="H96" s="239"/>
      <c r="I96" s="239"/>
      <c r="J96" s="239"/>
      <c r="K96" s="239"/>
      <c r="L96" s="239"/>
    </row>
    <row r="97" spans="1:12" x14ac:dyDescent="0.3">
      <c r="A97" s="239"/>
      <c r="B97" s="239"/>
      <c r="C97" s="239"/>
      <c r="D97" s="239"/>
      <c r="E97" s="239"/>
      <c r="F97" s="239"/>
      <c r="G97" s="239"/>
      <c r="H97" s="239"/>
      <c r="I97" s="239"/>
      <c r="J97" s="239"/>
      <c r="K97" s="239"/>
      <c r="L97" s="239"/>
    </row>
    <row r="98" spans="1:12" x14ac:dyDescent="0.3">
      <c r="A98" s="239"/>
      <c r="B98" s="239"/>
      <c r="C98" s="239"/>
      <c r="D98" s="239"/>
      <c r="E98" s="239"/>
      <c r="F98" s="239"/>
      <c r="G98" s="239"/>
      <c r="H98" s="239"/>
      <c r="I98" s="239"/>
      <c r="J98" s="239"/>
      <c r="K98" s="239"/>
      <c r="L98" s="239"/>
    </row>
    <row r="99" spans="1:12" x14ac:dyDescent="0.3">
      <c r="A99" s="239"/>
      <c r="B99" s="239"/>
      <c r="C99" s="239"/>
      <c r="D99" s="239"/>
      <c r="E99" s="239"/>
      <c r="F99" s="239"/>
      <c r="G99" s="239"/>
      <c r="H99" s="239"/>
      <c r="I99" s="239"/>
      <c r="J99" s="239"/>
      <c r="K99" s="239"/>
      <c r="L99" s="239"/>
    </row>
    <row r="100" spans="1:12" x14ac:dyDescent="0.3">
      <c r="A100" s="239"/>
      <c r="B100" s="239"/>
      <c r="C100" s="239"/>
      <c r="D100" s="239"/>
      <c r="E100" s="239"/>
      <c r="F100" s="239"/>
      <c r="G100" s="239"/>
      <c r="H100" s="239"/>
      <c r="I100" s="239"/>
      <c r="J100" s="239"/>
      <c r="K100" s="239"/>
      <c r="L100" s="239"/>
    </row>
    <row r="101" spans="1:12" x14ac:dyDescent="0.3">
      <c r="A101" s="239"/>
      <c r="B101" s="239"/>
      <c r="C101" s="239"/>
      <c r="D101" s="239"/>
      <c r="E101" s="239"/>
      <c r="F101" s="239"/>
      <c r="G101" s="239"/>
      <c r="H101" s="239"/>
      <c r="I101" s="239"/>
      <c r="J101" s="239"/>
      <c r="K101" s="239"/>
      <c r="L101" s="239"/>
    </row>
    <row r="102" spans="1:12" x14ac:dyDescent="0.3">
      <c r="A102" s="239"/>
      <c r="B102" s="239"/>
      <c r="C102" s="239"/>
      <c r="D102" s="239"/>
      <c r="E102" s="239"/>
      <c r="F102" s="239"/>
      <c r="G102" s="239"/>
      <c r="H102" s="239"/>
      <c r="I102" s="239"/>
      <c r="J102" s="239"/>
      <c r="K102" s="239"/>
      <c r="L102" s="239"/>
    </row>
    <row r="103" spans="1:12" x14ac:dyDescent="0.3">
      <c r="A103" s="239"/>
      <c r="B103" s="239"/>
      <c r="C103" s="239"/>
      <c r="D103" s="239"/>
      <c r="E103" s="239"/>
      <c r="F103" s="239"/>
      <c r="G103" s="239"/>
      <c r="H103" s="239"/>
      <c r="I103" s="239"/>
      <c r="J103" s="239"/>
      <c r="K103" s="239"/>
      <c r="L103" s="239"/>
    </row>
    <row r="104" spans="1:12" x14ac:dyDescent="0.3">
      <c r="A104" s="239"/>
      <c r="B104" s="239"/>
      <c r="C104" s="239"/>
      <c r="D104" s="239"/>
      <c r="E104" s="239"/>
      <c r="F104" s="239"/>
      <c r="G104" s="239"/>
      <c r="H104" s="239"/>
      <c r="I104" s="239"/>
      <c r="J104" s="239"/>
      <c r="K104" s="239"/>
      <c r="L104" s="239"/>
    </row>
    <row r="105" spans="1:12" x14ac:dyDescent="0.3">
      <c r="A105" s="239"/>
      <c r="B105" s="239"/>
      <c r="C105" s="239"/>
      <c r="D105" s="239"/>
      <c r="E105" s="239"/>
      <c r="F105" s="239"/>
      <c r="G105" s="239"/>
      <c r="H105" s="239"/>
      <c r="I105" s="239"/>
      <c r="J105" s="239"/>
      <c r="K105" s="239"/>
      <c r="L105" s="239"/>
    </row>
    <row r="106" spans="1:12" x14ac:dyDescent="0.3">
      <c r="A106" s="239"/>
      <c r="B106" s="239"/>
      <c r="C106" s="239"/>
      <c r="D106" s="239"/>
      <c r="E106" s="239"/>
      <c r="F106" s="239"/>
      <c r="G106" s="239"/>
      <c r="H106" s="239"/>
      <c r="I106" s="239"/>
      <c r="J106" s="239"/>
      <c r="K106" s="239"/>
      <c r="L106" s="239"/>
    </row>
    <row r="107" spans="1:12" x14ac:dyDescent="0.3">
      <c r="A107" s="239"/>
      <c r="B107" s="239"/>
      <c r="C107" s="239"/>
      <c r="D107" s="239"/>
      <c r="E107" s="239"/>
      <c r="F107" s="239"/>
      <c r="G107" s="239"/>
      <c r="H107" s="239"/>
      <c r="I107" s="239"/>
      <c r="J107" s="239"/>
      <c r="K107" s="239"/>
      <c r="L107" s="239"/>
    </row>
    <row r="108" spans="1:12" x14ac:dyDescent="0.3">
      <c r="A108" s="239"/>
      <c r="B108" s="239"/>
      <c r="C108" s="239"/>
      <c r="D108" s="239"/>
      <c r="E108" s="239"/>
      <c r="F108" s="239"/>
      <c r="G108" s="239"/>
      <c r="H108" s="239"/>
      <c r="I108" s="239"/>
      <c r="J108" s="239"/>
      <c r="K108" s="239"/>
      <c r="L108" s="239"/>
    </row>
    <row r="109" spans="1:12" x14ac:dyDescent="0.3">
      <c r="A109" s="239"/>
      <c r="B109" s="239"/>
      <c r="C109" s="239"/>
      <c r="D109" s="239"/>
      <c r="E109" s="239"/>
      <c r="F109" s="239"/>
      <c r="G109" s="239"/>
      <c r="H109" s="239"/>
      <c r="I109" s="239"/>
      <c r="J109" s="239"/>
      <c r="K109" s="239"/>
      <c r="L109" s="239"/>
    </row>
    <row r="110" spans="1:12" x14ac:dyDescent="0.3">
      <c r="A110" s="239"/>
      <c r="B110" s="239"/>
      <c r="C110" s="239"/>
      <c r="D110" s="239"/>
      <c r="E110" s="239"/>
      <c r="F110" s="239"/>
      <c r="G110" s="239"/>
      <c r="H110" s="239"/>
      <c r="I110" s="239"/>
      <c r="J110" s="239"/>
      <c r="K110" s="239"/>
      <c r="L110" s="239"/>
    </row>
    <row r="111" spans="1:12" x14ac:dyDescent="0.3">
      <c r="A111" s="239"/>
      <c r="B111" s="239"/>
      <c r="C111" s="239"/>
      <c r="D111" s="239"/>
      <c r="E111" s="239"/>
      <c r="F111" s="239"/>
      <c r="G111" s="239"/>
      <c r="H111" s="239"/>
      <c r="I111" s="239"/>
      <c r="J111" s="239"/>
      <c r="K111" s="239"/>
      <c r="L111" s="239"/>
    </row>
    <row r="112" spans="1:12" x14ac:dyDescent="0.3">
      <c r="A112" s="239"/>
      <c r="B112" s="239"/>
      <c r="C112" s="239"/>
      <c r="D112" s="239"/>
      <c r="E112" s="239"/>
      <c r="F112" s="239"/>
      <c r="G112" s="239"/>
      <c r="H112" s="239"/>
      <c r="I112" s="239"/>
      <c r="J112" s="239"/>
      <c r="K112" s="239"/>
      <c r="L112" s="239"/>
    </row>
    <row r="113" spans="1:12" x14ac:dyDescent="0.3">
      <c r="A113" s="239"/>
      <c r="B113" s="239"/>
      <c r="C113" s="239"/>
      <c r="D113" s="239"/>
      <c r="E113" s="239"/>
      <c r="F113" s="239"/>
      <c r="G113" s="239"/>
      <c r="H113" s="239"/>
      <c r="I113" s="239"/>
      <c r="J113" s="239"/>
      <c r="K113" s="239"/>
      <c r="L113" s="239"/>
    </row>
    <row r="114" spans="1:12" x14ac:dyDescent="0.3">
      <c r="A114" s="239"/>
      <c r="B114" s="239"/>
      <c r="C114" s="239"/>
      <c r="D114" s="239"/>
      <c r="E114" s="239"/>
      <c r="F114" s="239"/>
      <c r="G114" s="239"/>
      <c r="H114" s="239"/>
      <c r="I114" s="239"/>
      <c r="J114" s="239"/>
      <c r="K114" s="239"/>
      <c r="L114" s="239"/>
    </row>
    <row r="115" spans="1:12" x14ac:dyDescent="0.3">
      <c r="A115" s="239"/>
      <c r="B115" s="239"/>
      <c r="C115" s="239"/>
      <c r="D115" s="239"/>
      <c r="E115" s="239"/>
      <c r="F115" s="239"/>
      <c r="G115" s="239"/>
      <c r="H115" s="239"/>
      <c r="I115" s="239"/>
      <c r="J115" s="239"/>
      <c r="K115" s="239"/>
      <c r="L115" s="239"/>
    </row>
    <row r="116" spans="1:12" x14ac:dyDescent="0.3">
      <c r="A116" s="239"/>
      <c r="B116" s="239"/>
      <c r="C116" s="239"/>
      <c r="D116" s="239"/>
      <c r="E116" s="239"/>
      <c r="F116" s="239"/>
      <c r="G116" s="239"/>
      <c r="H116" s="239"/>
      <c r="I116" s="239"/>
      <c r="J116" s="239"/>
      <c r="K116" s="239"/>
      <c r="L116" s="239"/>
    </row>
    <row r="117" spans="1:12" x14ac:dyDescent="0.3">
      <c r="A117" s="239"/>
      <c r="B117" s="239"/>
      <c r="C117" s="239"/>
      <c r="D117" s="239"/>
      <c r="E117" s="239"/>
      <c r="F117" s="239"/>
      <c r="G117" s="239"/>
      <c r="H117" s="239"/>
      <c r="I117" s="239"/>
      <c r="J117" s="239"/>
      <c r="K117" s="239"/>
      <c r="L117" s="239"/>
    </row>
    <row r="118" spans="1:12" x14ac:dyDescent="0.3">
      <c r="A118" s="239"/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  <c r="L118" s="239"/>
    </row>
    <row r="119" spans="1:12" x14ac:dyDescent="0.3">
      <c r="A119" s="239"/>
      <c r="B119" s="239"/>
      <c r="C119" s="239"/>
      <c r="D119" s="239"/>
      <c r="E119" s="239"/>
      <c r="F119" s="239"/>
      <c r="G119" s="239"/>
      <c r="H119" s="239"/>
      <c r="I119" s="239"/>
      <c r="J119" s="239"/>
      <c r="K119" s="239"/>
      <c r="L119" s="239"/>
    </row>
    <row r="120" spans="1:12" x14ac:dyDescent="0.3">
      <c r="A120" s="239"/>
      <c r="B120" s="239"/>
      <c r="C120" s="239"/>
      <c r="D120" s="239"/>
      <c r="E120" s="239"/>
      <c r="F120" s="239"/>
      <c r="G120" s="239"/>
      <c r="H120" s="239"/>
      <c r="I120" s="239"/>
      <c r="J120" s="239"/>
      <c r="K120" s="239"/>
      <c r="L120" s="239"/>
    </row>
    <row r="121" spans="1:12" x14ac:dyDescent="0.3">
      <c r="A121" s="239"/>
      <c r="B121" s="239"/>
      <c r="C121" s="239"/>
      <c r="D121" s="239"/>
      <c r="E121" s="239"/>
      <c r="F121" s="239"/>
      <c r="G121" s="239"/>
      <c r="H121" s="239"/>
      <c r="I121" s="239"/>
      <c r="J121" s="239"/>
      <c r="K121" s="239"/>
      <c r="L121" s="239"/>
    </row>
    <row r="122" spans="1:12" x14ac:dyDescent="0.3">
      <c r="A122" s="239"/>
      <c r="B122" s="239"/>
      <c r="C122" s="239"/>
      <c r="D122" s="239"/>
      <c r="E122" s="239"/>
      <c r="F122" s="239"/>
      <c r="G122" s="239"/>
      <c r="H122" s="239"/>
      <c r="I122" s="239"/>
      <c r="J122" s="239"/>
      <c r="K122" s="239"/>
      <c r="L122" s="239"/>
    </row>
    <row r="123" spans="1:12" x14ac:dyDescent="0.3">
      <c r="A123" s="239"/>
      <c r="B123" s="239"/>
      <c r="C123" s="239"/>
      <c r="D123" s="239"/>
      <c r="E123" s="239"/>
      <c r="F123" s="239"/>
      <c r="G123" s="239"/>
      <c r="H123" s="239"/>
      <c r="I123" s="239"/>
      <c r="J123" s="239"/>
      <c r="K123" s="239"/>
      <c r="L123" s="239"/>
    </row>
    <row r="124" spans="1:12" x14ac:dyDescent="0.3">
      <c r="A124" s="239"/>
      <c r="B124" s="239"/>
      <c r="C124" s="239"/>
      <c r="D124" s="239"/>
      <c r="E124" s="239"/>
      <c r="F124" s="239"/>
      <c r="G124" s="239"/>
      <c r="H124" s="239"/>
      <c r="I124" s="239"/>
      <c r="J124" s="239"/>
      <c r="K124" s="239"/>
      <c r="L124" s="239"/>
    </row>
    <row r="125" spans="1:12" x14ac:dyDescent="0.3">
      <c r="A125" s="239"/>
      <c r="B125" s="239"/>
      <c r="C125" s="239"/>
      <c r="D125" s="239"/>
      <c r="E125" s="239"/>
      <c r="F125" s="239"/>
      <c r="G125" s="239"/>
      <c r="H125" s="239"/>
      <c r="I125" s="239"/>
      <c r="J125" s="239"/>
      <c r="K125" s="239"/>
      <c r="L125" s="239"/>
    </row>
    <row r="126" spans="1:12" x14ac:dyDescent="0.3">
      <c r="A126" s="239"/>
      <c r="B126" s="239"/>
      <c r="C126" s="239"/>
      <c r="D126" s="239"/>
      <c r="E126" s="239"/>
      <c r="F126" s="239"/>
      <c r="G126" s="239"/>
      <c r="H126" s="239"/>
      <c r="I126" s="239"/>
      <c r="J126" s="239"/>
      <c r="K126" s="239"/>
      <c r="L126" s="239"/>
    </row>
    <row r="127" spans="1:12" x14ac:dyDescent="0.3">
      <c r="A127" s="239"/>
      <c r="B127" s="239"/>
      <c r="C127" s="239"/>
      <c r="D127" s="239"/>
      <c r="E127" s="239"/>
      <c r="F127" s="239"/>
      <c r="G127" s="239"/>
      <c r="H127" s="239"/>
      <c r="I127" s="239"/>
      <c r="J127" s="239"/>
      <c r="K127" s="239"/>
      <c r="L127" s="239"/>
    </row>
    <row r="128" spans="1:12" x14ac:dyDescent="0.3">
      <c r="A128" s="239"/>
      <c r="B128" s="239"/>
      <c r="C128" s="239"/>
      <c r="D128" s="239"/>
      <c r="E128" s="239"/>
      <c r="F128" s="239"/>
      <c r="G128" s="239"/>
      <c r="H128" s="239"/>
      <c r="I128" s="239"/>
      <c r="J128" s="239"/>
      <c r="K128" s="239"/>
      <c r="L128" s="239"/>
    </row>
    <row r="129" spans="1:12" x14ac:dyDescent="0.3">
      <c r="A129" s="239"/>
      <c r="B129" s="239"/>
      <c r="C129" s="239"/>
      <c r="D129" s="239"/>
      <c r="E129" s="239"/>
      <c r="F129" s="239"/>
      <c r="G129" s="239"/>
      <c r="H129" s="239"/>
      <c r="I129" s="239"/>
      <c r="J129" s="239"/>
      <c r="K129" s="239"/>
      <c r="L129" s="239"/>
    </row>
    <row r="130" spans="1:12" x14ac:dyDescent="0.3">
      <c r="A130" s="239"/>
      <c r="B130" s="239"/>
      <c r="C130" s="239"/>
      <c r="D130" s="239"/>
      <c r="E130" s="239"/>
      <c r="F130" s="239"/>
      <c r="G130" s="239"/>
      <c r="H130" s="239"/>
      <c r="I130" s="239"/>
      <c r="J130" s="239"/>
      <c r="K130" s="239"/>
      <c r="L130" s="239"/>
    </row>
    <row r="131" spans="1:12" x14ac:dyDescent="0.3">
      <c r="A131" s="239"/>
      <c r="B131" s="239"/>
      <c r="C131" s="239"/>
      <c r="D131" s="239"/>
      <c r="E131" s="239"/>
      <c r="F131" s="239"/>
      <c r="G131" s="239"/>
      <c r="H131" s="239"/>
      <c r="I131" s="239"/>
      <c r="J131" s="239"/>
      <c r="K131" s="239"/>
      <c r="L131" s="239"/>
    </row>
    <row r="132" spans="1:12" x14ac:dyDescent="0.3">
      <c r="A132" s="239"/>
      <c r="B132" s="239"/>
      <c r="C132" s="239"/>
      <c r="D132" s="239"/>
      <c r="E132" s="239"/>
      <c r="F132" s="239"/>
      <c r="G132" s="239"/>
      <c r="H132" s="239"/>
      <c r="I132" s="239"/>
      <c r="J132" s="239"/>
      <c r="K132" s="239"/>
      <c r="L132" s="239"/>
    </row>
    <row r="133" spans="1:12" x14ac:dyDescent="0.3">
      <c r="A133" s="239"/>
      <c r="B133" s="239"/>
      <c r="C133" s="239"/>
      <c r="D133" s="239"/>
      <c r="E133" s="239"/>
      <c r="F133" s="239"/>
      <c r="G133" s="239"/>
      <c r="H133" s="239"/>
      <c r="I133" s="239"/>
      <c r="J133" s="239"/>
      <c r="K133" s="239"/>
      <c r="L133" s="239"/>
    </row>
    <row r="134" spans="1:12" x14ac:dyDescent="0.3">
      <c r="A134" s="239"/>
      <c r="B134" s="239"/>
      <c r="C134" s="239"/>
      <c r="D134" s="239"/>
      <c r="E134" s="239"/>
      <c r="F134" s="239"/>
      <c r="G134" s="239"/>
      <c r="H134" s="239"/>
      <c r="I134" s="239"/>
      <c r="J134" s="239"/>
      <c r="K134" s="239"/>
      <c r="L134" s="239"/>
    </row>
    <row r="135" spans="1:12" x14ac:dyDescent="0.3">
      <c r="A135" s="239"/>
      <c r="B135" s="239"/>
      <c r="C135" s="239"/>
      <c r="D135" s="239"/>
      <c r="E135" s="239"/>
      <c r="F135" s="239"/>
      <c r="G135" s="239"/>
      <c r="H135" s="239"/>
      <c r="I135" s="239"/>
      <c r="J135" s="239"/>
      <c r="K135" s="239"/>
      <c r="L135" s="239"/>
    </row>
    <row r="136" spans="1:12" x14ac:dyDescent="0.3">
      <c r="A136" s="239"/>
      <c r="B136" s="239"/>
      <c r="C136" s="239"/>
      <c r="D136" s="239"/>
      <c r="E136" s="239"/>
      <c r="F136" s="239"/>
      <c r="G136" s="239"/>
      <c r="H136" s="239"/>
      <c r="I136" s="239"/>
      <c r="J136" s="239"/>
      <c r="K136" s="239"/>
      <c r="L136" s="239"/>
    </row>
    <row r="137" spans="1:12" x14ac:dyDescent="0.3">
      <c r="A137" s="239"/>
      <c r="B137" s="239"/>
      <c r="C137" s="239"/>
      <c r="D137" s="239"/>
      <c r="E137" s="239"/>
      <c r="F137" s="239"/>
      <c r="G137" s="239"/>
      <c r="H137" s="239"/>
      <c r="I137" s="239"/>
      <c r="J137" s="239"/>
      <c r="K137" s="239"/>
      <c r="L137" s="239"/>
    </row>
    <row r="138" spans="1:12" x14ac:dyDescent="0.3">
      <c r="A138" s="239"/>
      <c r="B138" s="239"/>
      <c r="C138" s="239"/>
      <c r="D138" s="239"/>
      <c r="E138" s="239"/>
      <c r="F138" s="239"/>
      <c r="G138" s="239"/>
      <c r="H138" s="239"/>
      <c r="I138" s="239"/>
      <c r="J138" s="239"/>
      <c r="K138" s="239"/>
      <c r="L138" s="239"/>
    </row>
    <row r="139" spans="1:12" x14ac:dyDescent="0.3">
      <c r="A139" s="239"/>
      <c r="B139" s="239"/>
      <c r="C139" s="239"/>
      <c r="D139" s="239"/>
      <c r="E139" s="239"/>
      <c r="F139" s="239"/>
      <c r="G139" s="239"/>
      <c r="H139" s="239"/>
      <c r="I139" s="239"/>
      <c r="J139" s="239"/>
      <c r="K139" s="239"/>
      <c r="L139" s="239"/>
    </row>
    <row r="140" spans="1:12" x14ac:dyDescent="0.3">
      <c r="A140" s="239"/>
      <c r="B140" s="239"/>
      <c r="C140" s="239"/>
      <c r="D140" s="239"/>
      <c r="E140" s="239"/>
      <c r="F140" s="239"/>
      <c r="G140" s="239"/>
      <c r="H140" s="239"/>
      <c r="I140" s="239"/>
      <c r="J140" s="239"/>
      <c r="K140" s="239"/>
      <c r="L140" s="239"/>
    </row>
    <row r="141" spans="1:12" x14ac:dyDescent="0.3">
      <c r="A141" s="239"/>
      <c r="B141" s="239"/>
      <c r="C141" s="239"/>
      <c r="D141" s="239"/>
      <c r="E141" s="239"/>
      <c r="F141" s="239"/>
      <c r="G141" s="239"/>
      <c r="H141" s="239"/>
      <c r="I141" s="239"/>
      <c r="J141" s="239"/>
      <c r="K141" s="239"/>
      <c r="L141" s="239"/>
    </row>
    <row r="142" spans="1:12" x14ac:dyDescent="0.3">
      <c r="A142" s="239"/>
      <c r="B142" s="239"/>
      <c r="C142" s="239"/>
      <c r="D142" s="239"/>
      <c r="E142" s="239"/>
      <c r="F142" s="239"/>
      <c r="G142" s="239"/>
      <c r="H142" s="239"/>
      <c r="I142" s="239"/>
      <c r="J142" s="239"/>
      <c r="K142" s="239"/>
      <c r="L142" s="239"/>
    </row>
    <row r="143" spans="1:12" x14ac:dyDescent="0.3">
      <c r="A143" s="239"/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  <c r="L143" s="239"/>
    </row>
    <row r="144" spans="1:12" x14ac:dyDescent="0.3">
      <c r="A144" s="239"/>
      <c r="B144" s="239"/>
      <c r="C144" s="239"/>
      <c r="D144" s="239"/>
      <c r="E144" s="239"/>
      <c r="F144" s="239"/>
      <c r="G144" s="239"/>
      <c r="H144" s="239"/>
      <c r="I144" s="239"/>
      <c r="J144" s="239"/>
      <c r="K144" s="239"/>
      <c r="L144" s="239"/>
    </row>
    <row r="145" spans="1:12" x14ac:dyDescent="0.3">
      <c r="A145" s="239"/>
      <c r="B145" s="239"/>
      <c r="C145" s="239"/>
      <c r="D145" s="239"/>
      <c r="E145" s="239"/>
      <c r="F145" s="239"/>
      <c r="G145" s="239"/>
      <c r="H145" s="239"/>
      <c r="I145" s="239"/>
      <c r="J145" s="239"/>
      <c r="K145" s="239"/>
      <c r="L145" s="239"/>
    </row>
    <row r="146" spans="1:12" x14ac:dyDescent="0.3">
      <c r="A146" s="239"/>
      <c r="B146" s="239"/>
      <c r="C146" s="239"/>
      <c r="D146" s="239"/>
      <c r="E146" s="239"/>
      <c r="F146" s="239"/>
      <c r="G146" s="239"/>
      <c r="H146" s="239"/>
      <c r="I146" s="239"/>
      <c r="J146" s="239"/>
      <c r="K146" s="239"/>
      <c r="L146" s="239"/>
    </row>
    <row r="147" spans="1:12" x14ac:dyDescent="0.3">
      <c r="A147" s="239"/>
      <c r="B147" s="239"/>
      <c r="C147" s="239"/>
      <c r="D147" s="239"/>
      <c r="E147" s="239"/>
      <c r="F147" s="239"/>
      <c r="G147" s="239"/>
      <c r="H147" s="239"/>
      <c r="I147" s="239"/>
      <c r="J147" s="239"/>
      <c r="K147" s="239"/>
      <c r="L147" s="239"/>
    </row>
    <row r="148" spans="1:12" x14ac:dyDescent="0.3">
      <c r="A148" s="239"/>
      <c r="B148" s="239"/>
      <c r="C148" s="239"/>
      <c r="D148" s="239"/>
      <c r="E148" s="239"/>
      <c r="F148" s="239"/>
      <c r="G148" s="239"/>
      <c r="H148" s="239"/>
      <c r="I148" s="239"/>
      <c r="J148" s="239"/>
      <c r="K148" s="239"/>
      <c r="L148" s="239"/>
    </row>
    <row r="149" spans="1:12" x14ac:dyDescent="0.3">
      <c r="A149" s="239"/>
      <c r="B149" s="239"/>
      <c r="C149" s="239"/>
      <c r="D149" s="239"/>
      <c r="E149" s="239"/>
      <c r="F149" s="239"/>
      <c r="G149" s="239"/>
      <c r="H149" s="239"/>
      <c r="I149" s="239"/>
      <c r="J149" s="239"/>
      <c r="K149" s="239"/>
      <c r="L149" s="239"/>
    </row>
    <row r="150" spans="1:12" x14ac:dyDescent="0.3">
      <c r="A150" s="239"/>
      <c r="B150" s="239"/>
      <c r="C150" s="239"/>
      <c r="D150" s="239"/>
      <c r="E150" s="239"/>
      <c r="F150" s="239"/>
      <c r="G150" s="239"/>
      <c r="H150" s="239"/>
      <c r="I150" s="239"/>
      <c r="J150" s="239"/>
      <c r="K150" s="239"/>
      <c r="L150" s="239"/>
    </row>
    <row r="151" spans="1:12" x14ac:dyDescent="0.3">
      <c r="A151" s="239"/>
      <c r="B151" s="239"/>
      <c r="C151" s="239"/>
      <c r="D151" s="239"/>
      <c r="E151" s="239"/>
      <c r="F151" s="239"/>
      <c r="G151" s="239"/>
      <c r="H151" s="239"/>
      <c r="I151" s="239"/>
      <c r="J151" s="239"/>
      <c r="K151" s="239"/>
      <c r="L151" s="239"/>
    </row>
    <row r="152" spans="1:12" x14ac:dyDescent="0.3">
      <c r="A152" s="239"/>
      <c r="B152" s="239"/>
      <c r="C152" s="239"/>
      <c r="D152" s="239"/>
      <c r="E152" s="239"/>
      <c r="F152" s="239"/>
      <c r="G152" s="239"/>
      <c r="H152" s="239"/>
      <c r="I152" s="239"/>
      <c r="J152" s="239"/>
      <c r="K152" s="239"/>
      <c r="L152" s="239"/>
    </row>
    <row r="153" spans="1:12" x14ac:dyDescent="0.3">
      <c r="A153" s="239"/>
      <c r="B153" s="239"/>
      <c r="C153" s="239"/>
      <c r="D153" s="239"/>
      <c r="E153" s="239"/>
      <c r="F153" s="239"/>
      <c r="G153" s="239"/>
      <c r="H153" s="239"/>
      <c r="I153" s="239"/>
      <c r="J153" s="239"/>
      <c r="K153" s="239"/>
      <c r="L153" s="239"/>
    </row>
    <row r="154" spans="1:12" x14ac:dyDescent="0.3">
      <c r="A154" s="239"/>
      <c r="B154" s="239"/>
      <c r="C154" s="239"/>
      <c r="D154" s="239"/>
      <c r="E154" s="239"/>
      <c r="F154" s="239"/>
      <c r="G154" s="239"/>
      <c r="H154" s="239"/>
      <c r="I154" s="239"/>
      <c r="J154" s="239"/>
      <c r="K154" s="239"/>
      <c r="L154" s="239"/>
    </row>
    <row r="155" spans="1:12" x14ac:dyDescent="0.3">
      <c r="A155" s="239"/>
      <c r="B155" s="239"/>
      <c r="C155" s="239"/>
      <c r="D155" s="239"/>
      <c r="E155" s="239"/>
      <c r="F155" s="239"/>
      <c r="G155" s="239"/>
      <c r="H155" s="239"/>
      <c r="I155" s="239"/>
      <c r="J155" s="239"/>
      <c r="K155" s="239"/>
      <c r="L155" s="239"/>
    </row>
    <row r="156" spans="1:12" x14ac:dyDescent="0.3">
      <c r="A156" s="239"/>
      <c r="B156" s="239"/>
      <c r="C156" s="239"/>
      <c r="D156" s="239"/>
      <c r="E156" s="239"/>
      <c r="F156" s="239"/>
      <c r="G156" s="239"/>
      <c r="H156" s="239"/>
      <c r="I156" s="239"/>
      <c r="J156" s="239"/>
      <c r="K156" s="239"/>
      <c r="L156" s="239"/>
    </row>
  </sheetData>
  <mergeCells count="18">
    <mergeCell ref="A1:H1"/>
    <mergeCell ref="A5:L5"/>
    <mergeCell ref="A6:D6"/>
    <mergeCell ref="F6:G6"/>
    <mergeCell ref="A7:D7"/>
    <mergeCell ref="F7:G7"/>
    <mergeCell ref="A8:D8"/>
    <mergeCell ref="F8:G8"/>
    <mergeCell ref="A9:D9"/>
    <mergeCell ref="F9:G9"/>
    <mergeCell ref="A10:D10"/>
    <mergeCell ref="F10:G10"/>
    <mergeCell ref="A11:D11"/>
    <mergeCell ref="F11:G11"/>
    <mergeCell ref="A12:D12"/>
    <mergeCell ref="F12:G12"/>
    <mergeCell ref="A13:D13"/>
    <mergeCell ref="F13:G13"/>
  </mergeCells>
  <pageMargins left="0.7" right="0.7" top="0.75" bottom="0.75" header="0.3" footer="0.3"/>
  <pageSetup paperSize="9" scale="93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590F2-6569-4B66-800C-21280D91A84B}">
  <dimension ref="A1:E53"/>
  <sheetViews>
    <sheetView topLeftCell="A32" workbookViewId="0">
      <selection activeCell="D37" sqref="D37"/>
    </sheetView>
  </sheetViews>
  <sheetFormatPr defaultRowHeight="14.4" x14ac:dyDescent="0.3"/>
  <cols>
    <col min="1" max="1" width="8.44140625" customWidth="1"/>
    <col min="3" max="3" width="45.109375" customWidth="1"/>
    <col min="4" max="4" width="23.6640625" customWidth="1"/>
  </cols>
  <sheetData>
    <row r="1" spans="1:5" x14ac:dyDescent="0.3">
      <c r="A1" s="145"/>
      <c r="B1" s="1157" t="s">
        <v>156</v>
      </c>
      <c r="C1" s="1158"/>
      <c r="D1" s="1158"/>
      <c r="E1" s="146"/>
    </row>
    <row r="2" spans="1:5" x14ac:dyDescent="0.3">
      <c r="A2" s="145"/>
      <c r="B2" s="1159" t="str">
        <f>CONCATENATE("для житлового будинку,розташованого за адресою: ",Характеристика!E6, Характеристика!L6,)</f>
        <v>для житлового будинку,розташованого за адресою: Дніпробудівська7</v>
      </c>
      <c r="C2" s="1159"/>
      <c r="D2" s="1159"/>
      <c r="E2" s="1159"/>
    </row>
    <row r="3" spans="1:5" ht="45.6" hidden="1" customHeight="1" x14ac:dyDescent="0.3">
      <c r="A3" s="147">
        <v>1</v>
      </c>
      <c r="B3" s="1155" t="s">
        <v>157</v>
      </c>
      <c r="C3" s="1156"/>
      <c r="D3" s="148"/>
      <c r="E3" s="149" t="s">
        <v>158</v>
      </c>
    </row>
    <row r="4" spans="1:5" ht="53.4" hidden="1" customHeight="1" x14ac:dyDescent="0.3">
      <c r="A4" s="147">
        <v>2</v>
      </c>
      <c r="B4" s="1155" t="s">
        <v>159</v>
      </c>
      <c r="C4" s="1156"/>
      <c r="D4" s="148"/>
      <c r="E4" s="149" t="s">
        <v>158</v>
      </c>
    </row>
    <row r="5" spans="1:5" ht="30" hidden="1" customHeight="1" x14ac:dyDescent="0.3">
      <c r="A5" s="147">
        <v>3</v>
      </c>
      <c r="B5" s="1155" t="s">
        <v>160</v>
      </c>
      <c r="C5" s="1156"/>
      <c r="D5" s="148"/>
      <c r="E5" s="149" t="s">
        <v>158</v>
      </c>
    </row>
    <row r="6" spans="1:5" ht="57.6" hidden="1" customHeight="1" x14ac:dyDescent="0.3">
      <c r="A6" s="147">
        <v>4</v>
      </c>
      <c r="B6" s="1155" t="s">
        <v>161</v>
      </c>
      <c r="C6" s="1156"/>
      <c r="D6" s="148"/>
      <c r="E6" s="149" t="s">
        <v>158</v>
      </c>
    </row>
    <row r="7" spans="1:5" hidden="1" x14ac:dyDescent="0.3">
      <c r="A7" s="147">
        <v>6</v>
      </c>
      <c r="B7" s="1155" t="s">
        <v>162</v>
      </c>
      <c r="C7" s="1156"/>
      <c r="D7" s="148">
        <f>[1]Таблица_Характеристика!J26</f>
        <v>0</v>
      </c>
      <c r="E7" s="149" t="s">
        <v>158</v>
      </c>
    </row>
    <row r="8" spans="1:5" hidden="1" x14ac:dyDescent="0.3">
      <c r="A8" s="147">
        <v>7</v>
      </c>
      <c r="B8" s="1155" t="s">
        <v>163</v>
      </c>
      <c r="C8" s="1156"/>
      <c r="D8" s="148"/>
      <c r="E8" s="149" t="s">
        <v>158</v>
      </c>
    </row>
    <row r="9" spans="1:5" x14ac:dyDescent="0.3">
      <c r="A9" s="147">
        <v>1</v>
      </c>
      <c r="B9" s="1155" t="s">
        <v>182</v>
      </c>
      <c r="C9" s="1156"/>
      <c r="D9" s="150">
        <v>500</v>
      </c>
      <c r="E9" s="149" t="s">
        <v>158</v>
      </c>
    </row>
    <row r="10" spans="1:5" x14ac:dyDescent="0.3">
      <c r="A10" s="674">
        <v>2</v>
      </c>
      <c r="B10" s="1151" t="s">
        <v>953</v>
      </c>
      <c r="C10" s="1152"/>
      <c r="D10" s="150">
        <v>478</v>
      </c>
      <c r="E10" s="149" t="s">
        <v>954</v>
      </c>
    </row>
    <row r="11" spans="1:5" x14ac:dyDescent="0.3">
      <c r="A11" s="674">
        <v>3</v>
      </c>
      <c r="B11" s="1151" t="s">
        <v>956</v>
      </c>
      <c r="C11" s="1152"/>
      <c r="D11" s="150">
        <v>1338</v>
      </c>
      <c r="E11" s="149" t="s">
        <v>954</v>
      </c>
    </row>
    <row r="12" spans="1:5" x14ac:dyDescent="0.3">
      <c r="A12" s="674">
        <v>4</v>
      </c>
      <c r="B12" s="1151" t="s">
        <v>981</v>
      </c>
      <c r="C12" s="1152"/>
      <c r="D12" s="150">
        <v>495</v>
      </c>
      <c r="E12" s="149" t="s">
        <v>954</v>
      </c>
    </row>
    <row r="13" spans="1:5" x14ac:dyDescent="0.3">
      <c r="A13" s="674">
        <v>5</v>
      </c>
      <c r="B13" s="1151" t="s">
        <v>982</v>
      </c>
      <c r="C13" s="1152"/>
      <c r="D13" s="150">
        <v>510</v>
      </c>
      <c r="E13" s="149" t="s">
        <v>954</v>
      </c>
    </row>
    <row r="14" spans="1:5" x14ac:dyDescent="0.3">
      <c r="A14" s="674">
        <v>6</v>
      </c>
      <c r="B14" s="1151" t="s">
        <v>955</v>
      </c>
      <c r="C14" s="1152"/>
      <c r="D14" s="150">
        <v>62</v>
      </c>
      <c r="E14" s="149" t="s">
        <v>165</v>
      </c>
    </row>
    <row r="15" spans="1:5" x14ac:dyDescent="0.3">
      <c r="A15" s="674">
        <v>7</v>
      </c>
      <c r="B15" s="1151" t="s">
        <v>957</v>
      </c>
      <c r="C15" s="1152"/>
      <c r="D15" s="150">
        <v>2</v>
      </c>
      <c r="E15" s="149" t="s">
        <v>165</v>
      </c>
    </row>
    <row r="16" spans="1:5" x14ac:dyDescent="0.3">
      <c r="A16" s="674">
        <v>8</v>
      </c>
      <c r="B16" s="1151" t="s">
        <v>958</v>
      </c>
      <c r="C16" s="1152"/>
      <c r="D16" s="150">
        <v>2</v>
      </c>
      <c r="E16" s="149" t="s">
        <v>165</v>
      </c>
    </row>
    <row r="17" spans="1:5" x14ac:dyDescent="0.3">
      <c r="A17" s="674">
        <v>9</v>
      </c>
      <c r="B17" s="1151" t="s">
        <v>959</v>
      </c>
      <c r="C17" s="1152"/>
      <c r="D17" s="150">
        <v>2</v>
      </c>
      <c r="E17" s="149" t="s">
        <v>165</v>
      </c>
    </row>
    <row r="18" spans="1:5" x14ac:dyDescent="0.3">
      <c r="A18" s="674">
        <v>10</v>
      </c>
      <c r="B18" s="1151" t="s">
        <v>960</v>
      </c>
      <c r="C18" s="1152"/>
      <c r="D18" s="150">
        <v>4</v>
      </c>
      <c r="E18" s="149" t="s">
        <v>961</v>
      </c>
    </row>
    <row r="19" spans="1:5" x14ac:dyDescent="0.3">
      <c r="A19" s="674">
        <v>11</v>
      </c>
      <c r="B19" s="1151" t="s">
        <v>962</v>
      </c>
      <c r="C19" s="1152"/>
      <c r="D19" s="150">
        <v>5</v>
      </c>
      <c r="E19" s="149" t="s">
        <v>961</v>
      </c>
    </row>
    <row r="20" spans="1:5" x14ac:dyDescent="0.3">
      <c r="A20" s="674">
        <v>12</v>
      </c>
      <c r="B20" s="1151" t="s">
        <v>963</v>
      </c>
      <c r="C20" s="1152"/>
      <c r="D20" s="150">
        <v>5</v>
      </c>
      <c r="E20" s="149" t="s">
        <v>961</v>
      </c>
    </row>
    <row r="21" spans="1:5" x14ac:dyDescent="0.3">
      <c r="A21" s="674">
        <v>13</v>
      </c>
      <c r="B21" s="1151" t="s">
        <v>964</v>
      </c>
      <c r="C21" s="1152"/>
      <c r="D21" s="150">
        <v>4</v>
      </c>
      <c r="E21" s="149" t="s">
        <v>961</v>
      </c>
    </row>
    <row r="22" spans="1:5" x14ac:dyDescent="0.3">
      <c r="A22" s="674">
        <v>14</v>
      </c>
      <c r="B22" s="1151" t="s">
        <v>612</v>
      </c>
      <c r="C22" s="1152"/>
      <c r="D22" s="150">
        <v>2</v>
      </c>
      <c r="E22" s="149" t="s">
        <v>961</v>
      </c>
    </row>
    <row r="23" spans="1:5" x14ac:dyDescent="0.3">
      <c r="A23" s="674">
        <v>15</v>
      </c>
      <c r="B23" s="1151" t="s">
        <v>835</v>
      </c>
      <c r="C23" s="1152"/>
      <c r="D23" s="150">
        <v>1</v>
      </c>
      <c r="E23" s="149" t="s">
        <v>965</v>
      </c>
    </row>
    <row r="24" spans="1:5" x14ac:dyDescent="0.3">
      <c r="A24" s="674">
        <v>16</v>
      </c>
      <c r="B24" s="1151" t="s">
        <v>966</v>
      </c>
      <c r="C24" s="1152"/>
      <c r="D24" s="150">
        <v>20</v>
      </c>
      <c r="E24" s="149" t="s">
        <v>965</v>
      </c>
    </row>
    <row r="25" spans="1:5" x14ac:dyDescent="0.3">
      <c r="A25" s="674">
        <v>17</v>
      </c>
      <c r="B25" s="1151" t="s">
        <v>967</v>
      </c>
      <c r="C25" s="1152"/>
      <c r="D25" s="150">
        <v>1</v>
      </c>
      <c r="E25" s="149" t="s">
        <v>965</v>
      </c>
    </row>
    <row r="26" spans="1:5" ht="28.8" customHeight="1" x14ac:dyDescent="0.3">
      <c r="A26" s="674">
        <v>18</v>
      </c>
      <c r="B26" s="1151" t="s">
        <v>857</v>
      </c>
      <c r="C26" s="1152"/>
      <c r="D26" s="150">
        <v>9</v>
      </c>
      <c r="E26" s="149" t="s">
        <v>954</v>
      </c>
    </row>
    <row r="27" spans="1:5" ht="30.6" customHeight="1" x14ac:dyDescent="0.3">
      <c r="A27" s="674">
        <v>19</v>
      </c>
      <c r="B27" s="1151" t="s">
        <v>861</v>
      </c>
      <c r="C27" s="1152"/>
      <c r="D27" s="150">
        <v>5</v>
      </c>
      <c r="E27" s="149" t="s">
        <v>954</v>
      </c>
    </row>
    <row r="28" spans="1:5" x14ac:dyDescent="0.3">
      <c r="A28" s="674">
        <v>20</v>
      </c>
      <c r="B28" s="1151" t="s">
        <v>896</v>
      </c>
      <c r="C28" s="1152"/>
      <c r="D28" s="150">
        <v>30</v>
      </c>
      <c r="E28" s="149" t="s">
        <v>165</v>
      </c>
    </row>
    <row r="29" spans="1:5" x14ac:dyDescent="0.3">
      <c r="A29" s="674">
        <v>21</v>
      </c>
      <c r="B29" s="1151" t="s">
        <v>971</v>
      </c>
      <c r="C29" s="1152"/>
      <c r="D29" s="150">
        <v>2</v>
      </c>
      <c r="E29" s="149" t="s">
        <v>165</v>
      </c>
    </row>
    <row r="30" spans="1:5" x14ac:dyDescent="0.3">
      <c r="A30" s="674">
        <v>22</v>
      </c>
      <c r="B30" s="1151" t="s">
        <v>968</v>
      </c>
      <c r="C30" s="1152"/>
      <c r="D30" s="150">
        <v>2</v>
      </c>
      <c r="E30" s="149" t="s">
        <v>165</v>
      </c>
    </row>
    <row r="31" spans="1:5" x14ac:dyDescent="0.3">
      <c r="A31" s="674">
        <v>23</v>
      </c>
      <c r="B31" s="1151" t="s">
        <v>969</v>
      </c>
      <c r="C31" s="1152"/>
      <c r="D31" s="150">
        <v>8</v>
      </c>
      <c r="E31" s="149" t="s">
        <v>165</v>
      </c>
    </row>
    <row r="32" spans="1:5" x14ac:dyDescent="0.3">
      <c r="A32" s="674">
        <v>24</v>
      </c>
      <c r="B32" s="1151" t="s">
        <v>880</v>
      </c>
      <c r="C32" s="1152"/>
      <c r="D32" s="150">
        <v>1</v>
      </c>
      <c r="E32" s="149" t="s">
        <v>165</v>
      </c>
    </row>
    <row r="33" spans="1:5" x14ac:dyDescent="0.3">
      <c r="A33" s="674">
        <v>25</v>
      </c>
      <c r="B33" s="1151" t="s">
        <v>884</v>
      </c>
      <c r="C33" s="1152"/>
      <c r="D33" s="150">
        <v>1</v>
      </c>
      <c r="E33" s="149" t="s">
        <v>165</v>
      </c>
    </row>
    <row r="34" spans="1:5" x14ac:dyDescent="0.3">
      <c r="A34" s="674">
        <v>26</v>
      </c>
      <c r="B34" s="1151" t="s">
        <v>887</v>
      </c>
      <c r="C34" s="1152"/>
      <c r="D34" s="150">
        <v>6</v>
      </c>
      <c r="E34" s="149" t="s">
        <v>165</v>
      </c>
    </row>
    <row r="35" spans="1:5" x14ac:dyDescent="0.3">
      <c r="A35" s="674">
        <v>27</v>
      </c>
      <c r="B35" s="1151" t="s">
        <v>890</v>
      </c>
      <c r="C35" s="1152"/>
      <c r="D35" s="150"/>
      <c r="E35" s="149" t="s">
        <v>165</v>
      </c>
    </row>
    <row r="36" spans="1:5" x14ac:dyDescent="0.3">
      <c r="A36" s="674">
        <v>28</v>
      </c>
      <c r="B36" s="1151" t="s">
        <v>893</v>
      </c>
      <c r="C36" s="1152"/>
      <c r="D36" s="150">
        <v>100</v>
      </c>
      <c r="E36" s="149" t="s">
        <v>970</v>
      </c>
    </row>
    <row r="37" spans="1:5" ht="27.6" customHeight="1" x14ac:dyDescent="0.3">
      <c r="A37" s="147">
        <v>29</v>
      </c>
      <c r="B37" s="1155" t="s">
        <v>164</v>
      </c>
      <c r="C37" s="1156"/>
      <c r="D37" s="148">
        <f>Характеристика!H44</f>
        <v>70</v>
      </c>
      <c r="E37" s="149" t="s">
        <v>158</v>
      </c>
    </row>
    <row r="38" spans="1:5" x14ac:dyDescent="0.3">
      <c r="A38" s="147">
        <v>30</v>
      </c>
      <c r="B38" s="1155" t="s">
        <v>166</v>
      </c>
      <c r="C38" s="1156"/>
      <c r="D38" s="150">
        <v>1100</v>
      </c>
      <c r="E38" s="149" t="s">
        <v>165</v>
      </c>
    </row>
    <row r="39" spans="1:5" hidden="1" x14ac:dyDescent="0.3">
      <c r="A39" s="147">
        <v>11</v>
      </c>
      <c r="B39" s="1155" t="s">
        <v>167</v>
      </c>
      <c r="C39" s="1156"/>
      <c r="D39" s="150">
        <v>5000</v>
      </c>
      <c r="E39" s="149" t="s">
        <v>165</v>
      </c>
    </row>
    <row r="40" spans="1:5" ht="28.2" customHeight="1" x14ac:dyDescent="0.3">
      <c r="A40" s="161">
        <v>31</v>
      </c>
      <c r="B40" s="1160" t="s">
        <v>168</v>
      </c>
      <c r="C40" s="1161"/>
      <c r="D40" s="151">
        <v>22</v>
      </c>
      <c r="E40" s="152" t="s">
        <v>169</v>
      </c>
    </row>
    <row r="41" spans="1:5" x14ac:dyDescent="0.3">
      <c r="A41" s="161">
        <v>32</v>
      </c>
      <c r="B41" s="153" t="s">
        <v>183</v>
      </c>
      <c r="C41" s="153"/>
      <c r="D41" s="151">
        <v>20</v>
      </c>
      <c r="E41" s="152" t="s">
        <v>169</v>
      </c>
    </row>
    <row r="42" spans="1:5" x14ac:dyDescent="0.3">
      <c r="A42" s="161">
        <v>33</v>
      </c>
      <c r="B42" s="154" t="s">
        <v>170</v>
      </c>
      <c r="C42" s="155"/>
      <c r="D42" s="151">
        <v>10</v>
      </c>
      <c r="E42" s="152" t="s">
        <v>169</v>
      </c>
    </row>
    <row r="43" spans="1:5" x14ac:dyDescent="0.3">
      <c r="A43" s="161">
        <v>34</v>
      </c>
      <c r="B43" s="1153" t="s">
        <v>171</v>
      </c>
      <c r="C43" s="1154"/>
      <c r="D43" s="156">
        <v>2019</v>
      </c>
      <c r="E43" s="152"/>
    </row>
    <row r="44" spans="1:5" x14ac:dyDescent="0.3">
      <c r="A44" s="161">
        <v>35</v>
      </c>
      <c r="B44" s="1153" t="s">
        <v>172</v>
      </c>
      <c r="C44" s="1154"/>
      <c r="D44" s="156">
        <v>250</v>
      </c>
      <c r="E44" s="152" t="s">
        <v>173</v>
      </c>
    </row>
    <row r="45" spans="1:5" x14ac:dyDescent="0.3">
      <c r="A45" s="161">
        <v>36</v>
      </c>
      <c r="B45" s="1153" t="s">
        <v>298</v>
      </c>
      <c r="C45" s="1154"/>
      <c r="D45" s="156">
        <v>302</v>
      </c>
      <c r="E45" s="152" t="s">
        <v>173</v>
      </c>
    </row>
    <row r="46" spans="1:5" x14ac:dyDescent="0.3">
      <c r="A46" s="161">
        <v>37</v>
      </c>
      <c r="B46" s="1153" t="s">
        <v>174</v>
      </c>
      <c r="C46" s="1154"/>
      <c r="D46" s="156">
        <v>1993</v>
      </c>
      <c r="E46" s="152" t="s">
        <v>175</v>
      </c>
    </row>
    <row r="47" spans="1:5" x14ac:dyDescent="0.3">
      <c r="A47" s="161">
        <v>38</v>
      </c>
      <c r="B47" s="1160" t="s">
        <v>176</v>
      </c>
      <c r="C47" s="1161"/>
      <c r="D47" s="151">
        <f>оклади!D26</f>
        <v>2032</v>
      </c>
      <c r="E47" s="152" t="s">
        <v>177</v>
      </c>
    </row>
    <row r="48" spans="1:5" x14ac:dyDescent="0.3">
      <c r="A48" s="161">
        <v>39</v>
      </c>
      <c r="B48" s="1160" t="s">
        <v>179</v>
      </c>
      <c r="C48" s="1161"/>
      <c r="D48" s="157">
        <v>0</v>
      </c>
      <c r="E48" s="152" t="s">
        <v>178</v>
      </c>
    </row>
    <row r="49" spans="1:5" x14ac:dyDescent="0.3">
      <c r="A49" s="161">
        <v>40</v>
      </c>
      <c r="B49" s="1160" t="s">
        <v>180</v>
      </c>
      <c r="C49" s="1161"/>
      <c r="D49" s="158">
        <f>Характеристика!L85</f>
        <v>1.4</v>
      </c>
      <c r="E49" s="152" t="s">
        <v>178</v>
      </c>
    </row>
    <row r="50" spans="1:5" x14ac:dyDescent="0.3">
      <c r="A50" s="161">
        <v>41</v>
      </c>
      <c r="B50" s="1161" t="s">
        <v>181</v>
      </c>
      <c r="C50" s="1161"/>
      <c r="D50" s="159">
        <v>295.14</v>
      </c>
      <c r="E50" s="160" t="s">
        <v>178</v>
      </c>
    </row>
    <row r="51" spans="1:5" x14ac:dyDescent="0.3">
      <c r="A51" s="161">
        <v>42</v>
      </c>
      <c r="B51" s="240" t="s">
        <v>747</v>
      </c>
      <c r="C51" s="240"/>
      <c r="D51" s="240">
        <v>263.83</v>
      </c>
      <c r="E51" s="152" t="s">
        <v>177</v>
      </c>
    </row>
    <row r="52" spans="1:5" x14ac:dyDescent="0.3">
      <c r="A52" s="161">
        <v>43</v>
      </c>
      <c r="B52" s="240" t="s">
        <v>909</v>
      </c>
      <c r="C52" s="240"/>
      <c r="D52" s="240">
        <v>0.64197000000000004</v>
      </c>
      <c r="E52" s="152" t="s">
        <v>177</v>
      </c>
    </row>
    <row r="53" spans="1:5" s="239" customFormat="1" ht="13.8" x14ac:dyDescent="0.25">
      <c r="A53" s="161">
        <v>44</v>
      </c>
      <c r="B53" s="1162" t="s">
        <v>952</v>
      </c>
      <c r="C53" s="1162"/>
      <c r="D53" s="240">
        <v>1528.78</v>
      </c>
      <c r="E53" s="152" t="s">
        <v>177</v>
      </c>
    </row>
  </sheetData>
  <mergeCells count="49">
    <mergeCell ref="B53:C53"/>
    <mergeCell ref="B50:C50"/>
    <mergeCell ref="B46:C46"/>
    <mergeCell ref="B47:C47"/>
    <mergeCell ref="B48:C48"/>
    <mergeCell ref="B49:C49"/>
    <mergeCell ref="B6:C6"/>
    <mergeCell ref="B38:C38"/>
    <mergeCell ref="B39:C39"/>
    <mergeCell ref="B40:C40"/>
    <mergeCell ref="B43:C43"/>
    <mergeCell ref="B18:C18"/>
    <mergeCell ref="B19:C19"/>
    <mergeCell ref="B20:C20"/>
    <mergeCell ref="B21:C21"/>
    <mergeCell ref="B22:C22"/>
    <mergeCell ref="B30:C30"/>
    <mergeCell ref="B23:C23"/>
    <mergeCell ref="B24:C24"/>
    <mergeCell ref="B25:C25"/>
    <mergeCell ref="B26:C26"/>
    <mergeCell ref="B27:C27"/>
    <mergeCell ref="B1:D1"/>
    <mergeCell ref="B2:E2"/>
    <mergeCell ref="B3:C3"/>
    <mergeCell ref="B4:C4"/>
    <mergeCell ref="B5:C5"/>
    <mergeCell ref="B45:C45"/>
    <mergeCell ref="B7:C7"/>
    <mergeCell ref="B8:C8"/>
    <mergeCell ref="B9:C9"/>
    <mergeCell ref="B37:C37"/>
    <mergeCell ref="B44:C44"/>
    <mergeCell ref="B16:C16"/>
    <mergeCell ref="B17:C17"/>
    <mergeCell ref="B34:C34"/>
    <mergeCell ref="B35:C35"/>
    <mergeCell ref="B10:C10"/>
    <mergeCell ref="B12:C12"/>
    <mergeCell ref="B14:C14"/>
    <mergeCell ref="B15:C15"/>
    <mergeCell ref="B11:C11"/>
    <mergeCell ref="B13:C13"/>
    <mergeCell ref="B36:C36"/>
    <mergeCell ref="B28:C28"/>
    <mergeCell ref="B29:C29"/>
    <mergeCell ref="B31:C31"/>
    <mergeCell ref="B32:C32"/>
    <mergeCell ref="B33:C3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1"/>
  <sheetViews>
    <sheetView topLeftCell="A4" zoomScaleNormal="100" workbookViewId="0">
      <selection activeCell="D19" sqref="D19"/>
    </sheetView>
  </sheetViews>
  <sheetFormatPr defaultRowHeight="15.6" x14ac:dyDescent="0.3"/>
  <cols>
    <col min="1" max="1" width="8.21875" style="3" customWidth="1"/>
    <col min="2" max="2" width="55.5546875" style="1" customWidth="1"/>
    <col min="3" max="3" width="17" style="1" customWidth="1"/>
    <col min="4" max="4" width="26.109375" style="1" customWidth="1"/>
    <col min="5" max="21" width="7.21875" style="1" customWidth="1"/>
    <col min="22" max="25" width="8.88671875" style="2"/>
  </cols>
  <sheetData>
    <row r="1" spans="1:25" x14ac:dyDescent="0.3">
      <c r="D1" s="654" t="s">
        <v>919</v>
      </c>
      <c r="E1" s="654"/>
      <c r="F1" s="410"/>
    </row>
    <row r="2" spans="1:25" x14ac:dyDescent="0.3">
      <c r="D2" s="412" t="s">
        <v>920</v>
      </c>
      <c r="E2" s="410"/>
      <c r="F2" s="410"/>
    </row>
    <row r="3" spans="1:25" ht="54" customHeight="1" x14ac:dyDescent="0.3">
      <c r="A3" s="1166" t="s">
        <v>13</v>
      </c>
      <c r="B3" s="1166"/>
      <c r="C3" s="1166"/>
      <c r="D3" s="1166"/>
    </row>
    <row r="4" spans="1:25" x14ac:dyDescent="0.3">
      <c r="A4" s="246" t="str">
        <f>Характеристика!A6</f>
        <v>Адреса</v>
      </c>
      <c r="B4" s="411" t="str">
        <f>CONCATENATE(Характеристика!B6,  Характеристика!E6,Характеристика!L6)</f>
        <v>м. КанівДніпробудівська7</v>
      </c>
      <c r="C4" s="411"/>
    </row>
    <row r="5" spans="1:25" ht="82.8" customHeight="1" x14ac:dyDescent="0.3">
      <c r="A5" s="4" t="s">
        <v>12</v>
      </c>
      <c r="B5" s="413" t="s">
        <v>915</v>
      </c>
      <c r="C5" s="4" t="s">
        <v>916</v>
      </c>
      <c r="D5" s="4" t="s">
        <v>917</v>
      </c>
    </row>
    <row r="6" spans="1:25" s="415" customFormat="1" ht="68.400000000000006" customHeight="1" x14ac:dyDescent="0.3">
      <c r="A6" s="6">
        <v>1</v>
      </c>
      <c r="B6" s="413" t="s">
        <v>979</v>
      </c>
      <c r="C6" s="655">
        <f>'ТО внутріньобудин'!H16</f>
        <v>59536.000012029923</v>
      </c>
      <c r="D6" s="656">
        <f>'ТО внутріньобудин'!K18</f>
        <v>1.5468492459065739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414"/>
      <c r="W6" s="414"/>
      <c r="X6" s="414"/>
      <c r="Y6" s="414"/>
    </row>
    <row r="7" spans="1:25" s="415" customFormat="1" x14ac:dyDescent="0.3">
      <c r="A7" s="6">
        <v>2</v>
      </c>
      <c r="B7" s="5" t="s">
        <v>0</v>
      </c>
      <c r="C7" s="657">
        <f>ліфти!I13</f>
        <v>0</v>
      </c>
      <c r="D7" s="402">
        <f>ліфти!I15</f>
        <v>0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414"/>
      <c r="W7" s="414"/>
      <c r="X7" s="414"/>
      <c r="Y7" s="414"/>
    </row>
    <row r="8" spans="1:25" s="415" customFormat="1" x14ac:dyDescent="0.3">
      <c r="A8" s="6">
        <v>3</v>
      </c>
      <c r="B8" s="416" t="s">
        <v>1</v>
      </c>
      <c r="C8" s="658">
        <f>диспетчериз!G15</f>
        <v>0</v>
      </c>
      <c r="D8" s="402">
        <f>диспетчериз!G17</f>
        <v>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14"/>
      <c r="W8" s="414"/>
      <c r="X8" s="414"/>
      <c r="Y8" s="414"/>
    </row>
    <row r="9" spans="1:25" s="415" customFormat="1" ht="17.399999999999999" customHeight="1" x14ac:dyDescent="0.3">
      <c r="A9" s="6">
        <v>4</v>
      </c>
      <c r="B9" s="416" t="s">
        <v>945</v>
      </c>
      <c r="C9" s="658">
        <f>вентканали!F23</f>
        <v>2605.9207077885308</v>
      </c>
      <c r="D9" s="402">
        <f>вентканали!F25</f>
        <v>6.7706370614762701E-2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414"/>
      <c r="W9" s="414"/>
      <c r="X9" s="414"/>
      <c r="Y9" s="414"/>
    </row>
    <row r="10" spans="1:25" s="415" customFormat="1" ht="65.400000000000006" customHeight="1" x14ac:dyDescent="0.3">
      <c r="A10" s="6">
        <v>5</v>
      </c>
      <c r="B10" s="416" t="s">
        <v>768</v>
      </c>
      <c r="C10" s="658">
        <v>0</v>
      </c>
      <c r="D10" s="402"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414"/>
      <c r="W10" s="414"/>
      <c r="X10" s="414"/>
      <c r="Y10" s="414"/>
    </row>
    <row r="11" spans="1:25" s="415" customFormat="1" ht="94.8" customHeight="1" x14ac:dyDescent="0.3">
      <c r="A11" s="6">
        <v>6</v>
      </c>
      <c r="B11" s="416" t="s">
        <v>918</v>
      </c>
      <c r="C11" s="658">
        <f>'поточ рем. констр.ел '!H15</f>
        <v>52808.627666520275</v>
      </c>
      <c r="D11" s="402">
        <f>'поточ рем. констр.ел '!H17</f>
        <v>1.372060364599774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414"/>
      <c r="W11" s="414"/>
      <c r="X11" s="414"/>
      <c r="Y11" s="414"/>
    </row>
    <row r="12" spans="1:25" s="415" customFormat="1" ht="48" customHeight="1" x14ac:dyDescent="0.3">
      <c r="A12" s="6">
        <v>7</v>
      </c>
      <c r="B12" s="420" t="s">
        <v>980</v>
      </c>
      <c r="C12" s="658">
        <f>'поточ рем. внутр.б.мереж'!H15</f>
        <v>56811.639898147841</v>
      </c>
      <c r="D12" s="402">
        <f>'поточ рем. внутр.б.мереж'!H17</f>
        <v>1.4760656126949889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414"/>
      <c r="W12" s="414"/>
      <c r="X12" s="414"/>
      <c r="Y12" s="414"/>
    </row>
    <row r="13" spans="1:25" s="415" customFormat="1" ht="55.2" customHeight="1" x14ac:dyDescent="0.3">
      <c r="A13" s="6">
        <v>8</v>
      </c>
      <c r="B13" s="413" t="s">
        <v>3</v>
      </c>
      <c r="C13" s="658">
        <v>0</v>
      </c>
      <c r="D13" s="402">
        <v>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414"/>
      <c r="W13" s="414"/>
      <c r="X13" s="414"/>
      <c r="Y13" s="414"/>
    </row>
    <row r="14" spans="1:25" s="419" customFormat="1" ht="23.4" customHeight="1" x14ac:dyDescent="0.3">
      <c r="A14" s="6">
        <v>9</v>
      </c>
      <c r="B14" s="413" t="s">
        <v>4</v>
      </c>
      <c r="C14" s="655">
        <f>прибирання!G16</f>
        <v>39238.441769651392</v>
      </c>
      <c r="D14" s="417">
        <f>прибирання!G18</f>
        <v>1.0189999999999999</v>
      </c>
      <c r="E14" s="404"/>
      <c r="F14" s="404"/>
      <c r="G14" s="404"/>
      <c r="H14" s="404"/>
      <c r="I14" s="404"/>
      <c r="J14" s="404"/>
      <c r="K14" s="404"/>
      <c r="L14" s="404"/>
      <c r="M14" s="404"/>
      <c r="N14" s="404"/>
      <c r="O14" s="404"/>
      <c r="P14" s="404"/>
      <c r="Q14" s="404"/>
      <c r="R14" s="404"/>
      <c r="S14" s="404"/>
      <c r="T14" s="404"/>
      <c r="U14" s="404"/>
      <c r="V14" s="418"/>
      <c r="W14" s="418"/>
      <c r="X14" s="418"/>
      <c r="Y14" s="418"/>
    </row>
    <row r="15" spans="1:25" s="415" customFormat="1" ht="30.6" customHeight="1" x14ac:dyDescent="0.3">
      <c r="A15" s="6">
        <v>10</v>
      </c>
      <c r="B15" s="416" t="s">
        <v>5</v>
      </c>
      <c r="C15" s="658">
        <f>сход.клітки!G16</f>
        <v>0</v>
      </c>
      <c r="D15" s="402">
        <f>сход.клітки!G18</f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414"/>
      <c r="W15" s="414"/>
      <c r="X15" s="414"/>
      <c r="Y15" s="414"/>
    </row>
    <row r="16" spans="1:25" s="415" customFormat="1" ht="49.8" customHeight="1" x14ac:dyDescent="0.3">
      <c r="A16" s="6">
        <v>11</v>
      </c>
      <c r="B16" s="416" t="s">
        <v>938</v>
      </c>
      <c r="C16" s="658">
        <f>Сніг!G23</f>
        <v>5931.6296952692828</v>
      </c>
      <c r="D16" s="402">
        <f>Сніг!G25</f>
        <v>0.15411409767653775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414"/>
      <c r="W16" s="414"/>
      <c r="X16" s="414"/>
      <c r="Y16" s="414"/>
    </row>
    <row r="17" spans="1:25" s="415" customFormat="1" x14ac:dyDescent="0.3">
      <c r="A17" s="6">
        <v>12</v>
      </c>
      <c r="B17" s="5" t="s">
        <v>6</v>
      </c>
      <c r="C17" s="657">
        <f>дератизація!F13</f>
        <v>773.77363123913312</v>
      </c>
      <c r="D17" s="402">
        <f>дератизація!F15</f>
        <v>2.0103990152895643E-2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414"/>
      <c r="W17" s="414"/>
      <c r="X17" s="414"/>
      <c r="Y17" s="414"/>
    </row>
    <row r="18" spans="1:25" s="415" customFormat="1" x14ac:dyDescent="0.3">
      <c r="A18" s="6">
        <v>13</v>
      </c>
      <c r="B18" s="5" t="s">
        <v>7</v>
      </c>
      <c r="C18" s="657">
        <v>0</v>
      </c>
      <c r="D18" s="402">
        <v>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414"/>
      <c r="W18" s="414"/>
      <c r="X18" s="414"/>
      <c r="Y18" s="414"/>
    </row>
    <row r="19" spans="1:25" s="415" customFormat="1" ht="64.2" customHeight="1" x14ac:dyDescent="0.3">
      <c r="A19" s="6">
        <v>14</v>
      </c>
      <c r="B19" s="416" t="s">
        <v>8</v>
      </c>
      <c r="C19" s="658">
        <f>освітлення!K13</f>
        <v>9593.3534485164328</v>
      </c>
      <c r="D19" s="402">
        <f>освітлення!K15</f>
        <v>0.24925207512352848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414"/>
      <c r="W19" s="414"/>
      <c r="X19" s="414"/>
      <c r="Y19" s="414"/>
    </row>
    <row r="20" spans="1:25" s="12" customFormat="1" x14ac:dyDescent="0.3">
      <c r="A20" s="7">
        <v>15</v>
      </c>
      <c r="B20" s="9" t="s">
        <v>9</v>
      </c>
      <c r="C20" s="659">
        <f>ROUND((C6+C7+C8+C9+C10+C11+C12+C13+C14+C15+C16+C17+C18+C19)*розрахунок!D42/100,2)</f>
        <v>22729.94</v>
      </c>
      <c r="D20" s="403">
        <f>ROUND((D6+D7+D8+D9+D10+D11+D12+D13+D14+D15+D16+D17+D18+D19)*розрахунок!D42/100,3)</f>
        <v>0.59099999999999997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1"/>
      <c r="W20" s="11"/>
      <c r="X20" s="11"/>
      <c r="Y20" s="11"/>
    </row>
    <row r="21" spans="1:25" s="12" customFormat="1" x14ac:dyDescent="0.3">
      <c r="A21" s="7">
        <v>16</v>
      </c>
      <c r="B21" s="9" t="s">
        <v>10</v>
      </c>
      <c r="C21" s="9">
        <f>ROUND((C6+C7+C8+C9+C10+C11+C12+C13+C14+C15+C16+C17+C18+C19+C20)*0.2,2)</f>
        <v>50005.87</v>
      </c>
      <c r="D21" s="403">
        <f>ROUND((D6+D7+D8+D9+D10+D11+D12+D13+D14+D15+D16+D17+D18+D19+D20)*розрахунок!D41/100,3)</f>
        <v>1.2989999999999999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1"/>
      <c r="W21" s="11"/>
      <c r="X21" s="11"/>
      <c r="Y21" s="11"/>
    </row>
    <row r="22" spans="1:25" s="12" customFormat="1" ht="31.2" x14ac:dyDescent="0.3">
      <c r="A22" s="7">
        <v>17</v>
      </c>
      <c r="B22" s="8" t="s">
        <v>11</v>
      </c>
      <c r="C22" s="660">
        <f>C6+C7+C8+C9+C10+C11+C12+C13+C14+C15+C16+C17+C18+C19+C20+C21</f>
        <v>300035.19682916283</v>
      </c>
      <c r="D22" s="659">
        <f>D21+D20+D19+D18+D17+D16+D15+D14+D13+D12+D11+D10+D9+D8+D7+D6</f>
        <v>7.7951517567690614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1"/>
      <c r="W22" s="11"/>
      <c r="X22" s="11"/>
      <c r="Y22" s="11"/>
    </row>
    <row r="23" spans="1:25" x14ac:dyDescent="0.3">
      <c r="A23" s="1168" t="s">
        <v>921</v>
      </c>
      <c r="B23" s="1168"/>
      <c r="C23" s="1168"/>
      <c r="D23" s="1168"/>
    </row>
    <row r="24" spans="1:25" x14ac:dyDescent="0.3">
      <c r="A24" s="1169" t="s">
        <v>922</v>
      </c>
      <c r="B24" s="1169"/>
      <c r="C24" s="1169"/>
      <c r="D24" s="1169"/>
    </row>
    <row r="25" spans="1:25" x14ac:dyDescent="0.3">
      <c r="A25" s="1169" t="s">
        <v>925</v>
      </c>
      <c r="B25" s="1169"/>
      <c r="C25" s="1169"/>
      <c r="D25" s="1169"/>
    </row>
    <row r="26" spans="1:25" x14ac:dyDescent="0.3">
      <c r="A26" s="661" t="s">
        <v>923</v>
      </c>
      <c r="B26" s="661"/>
      <c r="C26" s="661"/>
      <c r="D26" s="661" t="s">
        <v>924</v>
      </c>
    </row>
    <row r="29" spans="1:25" ht="125.4" customHeight="1" x14ac:dyDescent="0.3">
      <c r="A29" s="1165" t="s">
        <v>485</v>
      </c>
      <c r="B29" s="1167"/>
      <c r="C29" s="1167"/>
      <c r="D29" s="1167"/>
    </row>
    <row r="30" spans="1:25" ht="195" customHeight="1" x14ac:dyDescent="0.3">
      <c r="A30" s="1163" t="s">
        <v>294</v>
      </c>
      <c r="B30" s="1164"/>
      <c r="C30" s="1164"/>
      <c r="D30" s="1164"/>
    </row>
    <row r="31" spans="1:25" ht="109.2" customHeight="1" x14ac:dyDescent="0.3">
      <c r="A31" s="1165" t="s">
        <v>295</v>
      </c>
      <c r="B31" s="1165"/>
      <c r="C31" s="1165"/>
      <c r="D31" s="1165"/>
    </row>
  </sheetData>
  <mergeCells count="7">
    <mergeCell ref="A30:D30"/>
    <mergeCell ref="A31:D31"/>
    <mergeCell ref="A3:D3"/>
    <mergeCell ref="A29:D29"/>
    <mergeCell ref="A23:D23"/>
    <mergeCell ref="A24:D24"/>
    <mergeCell ref="A25:D2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rowBreaks count="1" manualBreakCount="1">
    <brk id="26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4AD7C-6878-4AAF-ABF1-3FFE4F7362A7}">
  <dimension ref="A1:J53"/>
  <sheetViews>
    <sheetView topLeftCell="A46" zoomScaleNormal="100" workbookViewId="0">
      <selection activeCell="I14" sqref="I14:J14"/>
    </sheetView>
  </sheetViews>
  <sheetFormatPr defaultRowHeight="14.4" x14ac:dyDescent="0.3"/>
  <cols>
    <col min="3" max="3" width="16" customWidth="1"/>
    <col min="4" max="4" width="9.44140625" customWidth="1"/>
  </cols>
  <sheetData>
    <row r="1" spans="1:10" x14ac:dyDescent="0.3">
      <c r="A1" s="1259" t="str">
        <f>CONCATENATE(кошторис!B4)</f>
        <v>м. КанівДніпробудівська7</v>
      </c>
      <c r="B1" s="1260"/>
      <c r="C1" s="1260"/>
      <c r="D1" s="1116"/>
      <c r="E1" s="1116"/>
      <c r="F1" s="176"/>
      <c r="G1" s="1261" t="s">
        <v>211</v>
      </c>
      <c r="H1" s="1261"/>
      <c r="I1" s="1261"/>
      <c r="J1" s="1261"/>
    </row>
    <row r="2" spans="1:10" x14ac:dyDescent="0.3">
      <c r="A2" s="176"/>
      <c r="B2" s="176"/>
      <c r="C2" s="176"/>
      <c r="D2" s="176"/>
      <c r="E2" s="176"/>
      <c r="F2" s="176"/>
      <c r="G2" s="1261" t="s">
        <v>932</v>
      </c>
      <c r="H2" s="1261"/>
      <c r="I2" s="1261"/>
      <c r="J2" s="1261"/>
    </row>
    <row r="3" spans="1:10" x14ac:dyDescent="0.3">
      <c r="A3" s="176"/>
      <c r="B3" s="176"/>
      <c r="C3" s="176"/>
      <c r="D3" s="176"/>
      <c r="E3" s="176"/>
      <c r="F3" s="1265" t="s">
        <v>933</v>
      </c>
      <c r="G3" s="1265"/>
      <c r="H3" s="1265"/>
      <c r="I3" s="1265"/>
      <c r="J3" s="1265"/>
    </row>
    <row r="4" spans="1:10" x14ac:dyDescent="0.3">
      <c r="A4" s="176"/>
      <c r="B4" s="176"/>
      <c r="C4" s="176"/>
      <c r="D4" s="176"/>
      <c r="E4" s="176"/>
      <c r="F4" s="176"/>
      <c r="G4" s="247"/>
      <c r="H4" s="248"/>
      <c r="I4" s="1262" t="s">
        <v>293</v>
      </c>
      <c r="J4" s="1262"/>
    </row>
    <row r="5" spans="1:10" x14ac:dyDescent="0.3">
      <c r="A5" s="176"/>
      <c r="B5" s="176"/>
      <c r="C5" s="176"/>
      <c r="D5" s="176"/>
      <c r="E5" s="176"/>
      <c r="F5" s="176"/>
      <c r="G5" s="1261"/>
      <c r="H5" s="1261"/>
      <c r="I5" s="1261"/>
      <c r="J5" s="1261"/>
    </row>
    <row r="6" spans="1:10" x14ac:dyDescent="0.3">
      <c r="A6" s="1263" t="s">
        <v>297</v>
      </c>
      <c r="B6" s="1263"/>
      <c r="C6" s="1263"/>
      <c r="D6" s="1263"/>
      <c r="E6" s="1263"/>
      <c r="F6" s="1263"/>
      <c r="G6" s="1263"/>
      <c r="H6" s="1263"/>
      <c r="I6" s="1263"/>
      <c r="J6" s="1263"/>
    </row>
    <row r="7" spans="1:10" x14ac:dyDescent="0.3">
      <c r="A7" s="1263" t="s">
        <v>212</v>
      </c>
      <c r="B7" s="1263"/>
      <c r="C7" s="1263"/>
      <c r="D7" s="1263"/>
      <c r="E7" s="1263"/>
      <c r="F7" s="1263"/>
      <c r="G7" s="1263"/>
      <c r="H7" s="1263"/>
      <c r="I7" s="1263"/>
      <c r="J7" s="1263"/>
    </row>
    <row r="8" spans="1:10" x14ac:dyDescent="0.3">
      <c r="A8" s="177"/>
      <c r="B8" s="178"/>
      <c r="C8" s="178"/>
      <c r="D8" s="178"/>
      <c r="E8" s="177"/>
      <c r="F8" s="177"/>
      <c r="G8" s="177"/>
      <c r="H8" s="177"/>
      <c r="I8" s="177"/>
      <c r="J8" s="177"/>
    </row>
    <row r="9" spans="1:10" ht="17.399999999999999" customHeight="1" x14ac:dyDescent="0.3">
      <c r="A9" s="1264" t="s">
        <v>296</v>
      </c>
      <c r="B9" s="1264"/>
      <c r="C9" s="1264"/>
      <c r="D9" s="1264"/>
      <c r="E9" s="1264"/>
      <c r="F9" s="1264"/>
      <c r="G9" s="1264"/>
      <c r="H9" s="1264"/>
      <c r="I9" s="1264"/>
      <c r="J9" s="1264"/>
    </row>
    <row r="10" spans="1:10" ht="26.4" x14ac:dyDescent="0.3">
      <c r="A10" s="179" t="s">
        <v>213</v>
      </c>
      <c r="B10" s="1257" t="s">
        <v>214</v>
      </c>
      <c r="C10" s="1239"/>
      <c r="D10" s="1239"/>
      <c r="E10" s="1239"/>
      <c r="F10" s="179" t="s">
        <v>215</v>
      </c>
      <c r="G10" s="1257" t="s">
        <v>216</v>
      </c>
      <c r="H10" s="1239"/>
      <c r="I10" s="1257" t="s">
        <v>217</v>
      </c>
      <c r="J10" s="1258"/>
    </row>
    <row r="11" spans="1:10" x14ac:dyDescent="0.3">
      <c r="A11" s="179">
        <v>1</v>
      </c>
      <c r="B11" s="1245" t="s">
        <v>300</v>
      </c>
      <c r="C11" s="1156"/>
      <c r="D11" s="1156"/>
      <c r="E11" s="1156"/>
      <c r="F11" s="256" t="s">
        <v>178</v>
      </c>
      <c r="G11" s="1247">
        <f>I11*12</f>
        <v>19220.884780732562</v>
      </c>
      <c r="H11" s="1248"/>
      <c r="I11" s="1247">
        <f>I43+I44</f>
        <v>1601.7403983943802</v>
      </c>
      <c r="J11" s="1254"/>
    </row>
    <row r="12" spans="1:10" ht="28.2" customHeight="1" x14ac:dyDescent="0.3">
      <c r="A12" s="179">
        <v>2</v>
      </c>
      <c r="B12" s="1255" t="s">
        <v>301</v>
      </c>
      <c r="C12" s="1256"/>
      <c r="D12" s="1256"/>
      <c r="E12" s="1256"/>
      <c r="F12" s="256" t="s">
        <v>178</v>
      </c>
      <c r="G12" s="1247">
        <f>I12*12</f>
        <v>4228.5599999999995</v>
      </c>
      <c r="H12" s="1248"/>
      <c r="I12" s="1247">
        <f>ROUND(I11*розрахунок!D40/100,2)</f>
        <v>352.38</v>
      </c>
      <c r="J12" s="1254"/>
    </row>
    <row r="13" spans="1:10" x14ac:dyDescent="0.3">
      <c r="A13" s="179">
        <v>3</v>
      </c>
      <c r="B13" s="1245" t="s">
        <v>302</v>
      </c>
      <c r="C13" s="1246"/>
      <c r="D13" s="1246"/>
      <c r="E13" s="1246"/>
      <c r="F13" s="256" t="s">
        <v>178</v>
      </c>
      <c r="G13" s="1247">
        <f>I13*12</f>
        <v>14701.035614207336</v>
      </c>
      <c r="H13" s="1248"/>
      <c r="I13" s="1247">
        <f>I51</f>
        <v>1225.0863011839447</v>
      </c>
      <c r="J13" s="1254"/>
    </row>
    <row r="14" spans="1:10" x14ac:dyDescent="0.3">
      <c r="A14" s="179">
        <v>4</v>
      </c>
      <c r="B14" s="1245" t="s">
        <v>486</v>
      </c>
      <c r="C14" s="1246"/>
      <c r="D14" s="1246"/>
      <c r="E14" s="1246"/>
      <c r="F14" s="256" t="s">
        <v>178</v>
      </c>
      <c r="G14" s="1247">
        <f>I14*12</f>
        <v>1087.9613747114904</v>
      </c>
      <c r="H14" s="1248"/>
      <c r="I14" s="1247">
        <f>інвентар!I7+інвентар!I12</f>
        <v>90.663447892624191</v>
      </c>
      <c r="J14" s="1254"/>
    </row>
    <row r="15" spans="1:10" x14ac:dyDescent="0.3">
      <c r="A15" s="179">
        <v>5</v>
      </c>
      <c r="B15" s="1245" t="s">
        <v>487</v>
      </c>
      <c r="C15" s="1246"/>
      <c r="D15" s="1246"/>
      <c r="E15" s="1246"/>
      <c r="F15" s="256" t="s">
        <v>178</v>
      </c>
      <c r="G15" s="1247">
        <f>I15*12</f>
        <v>0</v>
      </c>
      <c r="H15" s="1248"/>
      <c r="I15" s="1249">
        <f>Характеристика!D9/12</f>
        <v>0</v>
      </c>
      <c r="J15" s="1225"/>
    </row>
    <row r="16" spans="1:10" x14ac:dyDescent="0.3">
      <c r="A16" s="179">
        <v>6</v>
      </c>
      <c r="B16" s="1238" t="s">
        <v>218</v>
      </c>
      <c r="C16" s="1250"/>
      <c r="D16" s="1250"/>
      <c r="E16" s="1250"/>
      <c r="F16" s="179" t="s">
        <v>178</v>
      </c>
      <c r="G16" s="1251">
        <f>SUM(G11:G15)</f>
        <v>39238.441769651392</v>
      </c>
      <c r="H16" s="1252"/>
      <c r="I16" s="1251">
        <f>SUM(I11:I15)</f>
        <v>3269.8701474709492</v>
      </c>
      <c r="J16" s="1253"/>
    </row>
    <row r="17" spans="1:10" ht="22.8" customHeight="1" x14ac:dyDescent="0.3">
      <c r="A17" s="179">
        <v>7</v>
      </c>
      <c r="B17" s="1233" t="str">
        <f>Характеристика!A18</f>
        <v>Загальна площа будинку</v>
      </c>
      <c r="C17" s="1234"/>
      <c r="D17" s="1234"/>
      <c r="E17" s="1234"/>
      <c r="F17" s="179" t="s">
        <v>220</v>
      </c>
      <c r="G17" s="1235">
        <f>Характеристика!N18</f>
        <v>3207.38</v>
      </c>
      <c r="H17" s="1236"/>
      <c r="I17" s="1236"/>
      <c r="J17" s="1237"/>
    </row>
    <row r="18" spans="1:10" x14ac:dyDescent="0.3">
      <c r="A18" s="179">
        <v>8</v>
      </c>
      <c r="B18" s="1238" t="s">
        <v>488</v>
      </c>
      <c r="C18" s="1239"/>
      <c r="D18" s="1239"/>
      <c r="E18" s="1239"/>
      <c r="F18" s="179" t="s">
        <v>178</v>
      </c>
      <c r="G18" s="1240">
        <f>ROUND(I16/G17,3)</f>
        <v>1.0189999999999999</v>
      </c>
      <c r="H18" s="1241"/>
      <c r="I18" s="1242"/>
      <c r="J18" s="1243"/>
    </row>
    <row r="19" spans="1:10" x14ac:dyDescent="0.3">
      <c r="A19" s="180"/>
      <c r="B19" s="181"/>
      <c r="C19" s="146"/>
      <c r="D19" s="146"/>
      <c r="E19" s="146"/>
      <c r="F19" s="180"/>
      <c r="G19" s="182"/>
      <c r="H19" s="182"/>
      <c r="I19" s="183"/>
      <c r="J19" s="183"/>
    </row>
    <row r="20" spans="1:10" x14ac:dyDescent="0.3">
      <c r="A20" s="178" t="s">
        <v>221</v>
      </c>
      <c r="B20" s="176"/>
      <c r="C20" s="176"/>
      <c r="D20" s="176"/>
      <c r="E20" s="176"/>
      <c r="F20" s="176"/>
      <c r="G20" s="182"/>
      <c r="H20" s="182"/>
      <c r="I20" s="183"/>
      <c r="J20" s="183"/>
    </row>
    <row r="21" spans="1:10" ht="42" customHeight="1" x14ac:dyDescent="0.3">
      <c r="A21" s="1244" t="s">
        <v>222</v>
      </c>
      <c r="B21" s="1244"/>
      <c r="C21" s="1244"/>
      <c r="D21" s="1244"/>
      <c r="E21" s="1244"/>
      <c r="F21" s="1244"/>
      <c r="G21" s="1244"/>
      <c r="H21" s="1244"/>
      <c r="I21" s="1244"/>
      <c r="J21" s="1244"/>
    </row>
    <row r="22" spans="1:10" ht="23.4" customHeight="1" x14ac:dyDescent="0.3">
      <c r="A22" s="1214" t="s">
        <v>284</v>
      </c>
      <c r="B22" s="1215"/>
      <c r="C22" s="1215"/>
      <c r="D22" s="1215"/>
      <c r="E22" s="1215"/>
      <c r="F22" s="1215"/>
      <c r="G22" s="1215"/>
      <c r="H22" s="1215"/>
      <c r="I22" s="1215"/>
      <c r="J22" s="1215"/>
    </row>
    <row r="23" spans="1:10" x14ac:dyDescent="0.3">
      <c r="A23" s="1226" t="s">
        <v>267</v>
      </c>
      <c r="B23" s="1227"/>
      <c r="C23" s="1227"/>
      <c r="D23" s="1227"/>
      <c r="E23" s="1228" t="s">
        <v>223</v>
      </c>
      <c r="F23" s="1228"/>
      <c r="G23" s="184">
        <f>розрахунок!D45</f>
        <v>302</v>
      </c>
      <c r="H23" s="1228" t="s">
        <v>224</v>
      </c>
      <c r="I23" s="1228"/>
      <c r="J23" s="184">
        <f>розрахунок!D46</f>
        <v>1993</v>
      </c>
    </row>
    <row r="24" spans="1:10" x14ac:dyDescent="0.3">
      <c r="A24" s="185" t="s">
        <v>225</v>
      </c>
      <c r="B24" s="1229" t="s">
        <v>226</v>
      </c>
      <c r="C24" s="1229"/>
      <c r="D24" s="1229"/>
      <c r="E24" s="1229"/>
      <c r="F24" s="1229"/>
      <c r="G24" s="186"/>
      <c r="H24" s="186"/>
      <c r="I24" s="186"/>
      <c r="J24" s="187"/>
    </row>
    <row r="25" spans="1:10" ht="91.8" x14ac:dyDescent="0.3">
      <c r="A25" s="188" t="s">
        <v>227</v>
      </c>
      <c r="B25" s="1230" t="s">
        <v>228</v>
      </c>
      <c r="C25" s="1231"/>
      <c r="D25" s="189" t="s">
        <v>229</v>
      </c>
      <c r="E25" s="190" t="s">
        <v>230</v>
      </c>
      <c r="F25" s="1232" t="s">
        <v>231</v>
      </c>
      <c r="G25" s="1231"/>
      <c r="H25" s="191" t="s">
        <v>232</v>
      </c>
      <c r="I25" s="192" t="s">
        <v>233</v>
      </c>
      <c r="J25" s="192" t="s">
        <v>234</v>
      </c>
    </row>
    <row r="26" spans="1:10" x14ac:dyDescent="0.3">
      <c r="A26" s="193">
        <v>1</v>
      </c>
      <c r="B26" s="1219">
        <v>2</v>
      </c>
      <c r="C26" s="1220"/>
      <c r="D26" s="194">
        <v>3</v>
      </c>
      <c r="E26" s="194">
        <v>4</v>
      </c>
      <c r="F26" s="1221">
        <v>5</v>
      </c>
      <c r="G26" s="1222"/>
      <c r="H26" s="194">
        <v>6</v>
      </c>
      <c r="I26" s="194">
        <v>7</v>
      </c>
      <c r="J26" s="194">
        <v>8</v>
      </c>
    </row>
    <row r="27" spans="1:10" x14ac:dyDescent="0.3">
      <c r="A27" s="195" t="s">
        <v>99</v>
      </c>
      <c r="B27" s="1216" t="s">
        <v>235</v>
      </c>
      <c r="C27" s="1223"/>
      <c r="D27" s="1217"/>
      <c r="E27" s="1217"/>
      <c r="F27" s="1217"/>
      <c r="G27" s="1217"/>
      <c r="H27" s="1217"/>
      <c r="I27" s="1217"/>
      <c r="J27" s="1218"/>
    </row>
    <row r="28" spans="1:10" s="253" customFormat="1" ht="25.8" customHeight="1" x14ac:dyDescent="0.3">
      <c r="A28" s="195"/>
      <c r="B28" s="1197" t="s">
        <v>299</v>
      </c>
      <c r="C28" s="1224"/>
      <c r="D28" s="249">
        <f>Характеристика!H41</f>
        <v>500</v>
      </c>
      <c r="E28" s="250">
        <v>282</v>
      </c>
      <c r="F28" s="1212">
        <v>0.2</v>
      </c>
      <c r="G28" s="1225"/>
      <c r="H28" s="249">
        <f t="shared" ref="H28" si="0">(D28/100)*F28*E28</f>
        <v>282</v>
      </c>
      <c r="I28" s="251">
        <v>21</v>
      </c>
      <c r="J28" s="252" t="s">
        <v>236</v>
      </c>
    </row>
    <row r="29" spans="1:10" x14ac:dyDescent="0.3">
      <c r="A29" s="195" t="s">
        <v>237</v>
      </c>
      <c r="B29" s="1216" t="s">
        <v>247</v>
      </c>
      <c r="C29" s="1217"/>
      <c r="D29" s="1217"/>
      <c r="E29" s="1217"/>
      <c r="F29" s="1217"/>
      <c r="G29" s="1218"/>
      <c r="H29" s="200"/>
      <c r="I29" s="201"/>
      <c r="J29" s="202"/>
    </row>
    <row r="30" spans="1:10" x14ac:dyDescent="0.3">
      <c r="A30" s="195"/>
      <c r="B30" s="1197" t="s">
        <v>248</v>
      </c>
      <c r="C30" s="1198"/>
      <c r="D30" s="203"/>
      <c r="E30" s="204"/>
      <c r="F30" s="1199">
        <v>0.28000000000000003</v>
      </c>
      <c r="G30" s="1200"/>
      <c r="H30" s="196">
        <f>D30/100*F30*E30</f>
        <v>0</v>
      </c>
      <c r="I30" s="205" t="s">
        <v>249</v>
      </c>
      <c r="J30" s="206" t="s">
        <v>250</v>
      </c>
    </row>
    <row r="31" spans="1:10" x14ac:dyDescent="0.3">
      <c r="A31" s="195"/>
      <c r="B31" s="1197" t="s">
        <v>251</v>
      </c>
      <c r="C31" s="1198"/>
      <c r="D31" s="203">
        <f>Характеристика!L55</f>
        <v>2500</v>
      </c>
      <c r="E31" s="204">
        <v>2</v>
      </c>
      <c r="F31" s="1199">
        <v>0.42</v>
      </c>
      <c r="G31" s="1200"/>
      <c r="H31" s="196">
        <f>D31/100*F31*E31</f>
        <v>21</v>
      </c>
      <c r="I31" s="205" t="s">
        <v>249</v>
      </c>
      <c r="J31" s="206"/>
    </row>
    <row r="32" spans="1:10" x14ac:dyDescent="0.3">
      <c r="A32" s="195" t="s">
        <v>241</v>
      </c>
      <c r="B32" s="1201" t="s">
        <v>252</v>
      </c>
      <c r="C32" s="1156"/>
      <c r="D32" s="1156"/>
      <c r="E32" s="1156"/>
      <c r="F32" s="1156"/>
      <c r="G32" s="1156"/>
      <c r="H32" s="207"/>
      <c r="I32" s="207"/>
      <c r="J32" s="207"/>
    </row>
    <row r="33" spans="1:10" ht="23.4" customHeight="1" x14ac:dyDescent="0.3">
      <c r="A33" s="208"/>
      <c r="B33" s="1208" t="s">
        <v>253</v>
      </c>
      <c r="C33" s="1152"/>
      <c r="D33" s="196">
        <f>Характеристика!H53</f>
        <v>3000</v>
      </c>
      <c r="E33" s="197">
        <v>52</v>
      </c>
      <c r="F33" s="1199">
        <v>0.13</v>
      </c>
      <c r="G33" s="1209"/>
      <c r="H33" s="196">
        <f>D33/100*F33*E33</f>
        <v>202.8</v>
      </c>
      <c r="I33" s="198">
        <v>34</v>
      </c>
      <c r="J33" s="199" t="s">
        <v>254</v>
      </c>
    </row>
    <row r="34" spans="1:10" s="255" customFormat="1" ht="45.6" customHeight="1" x14ac:dyDescent="0.3">
      <c r="A34" s="254" t="s">
        <v>242</v>
      </c>
      <c r="B34" s="1210" t="s">
        <v>255</v>
      </c>
      <c r="C34" s="1211"/>
      <c r="D34" s="249">
        <f>Характеристика!N56</f>
        <v>16</v>
      </c>
      <c r="E34" s="250">
        <v>1</v>
      </c>
      <c r="F34" s="1212">
        <v>3.8</v>
      </c>
      <c r="G34" s="1213"/>
      <c r="H34" s="249">
        <f>D34*E34*F34</f>
        <v>60.8</v>
      </c>
      <c r="I34" s="251">
        <v>39</v>
      </c>
      <c r="J34" s="238" t="s">
        <v>256</v>
      </c>
    </row>
    <row r="35" spans="1:10" x14ac:dyDescent="0.3">
      <c r="A35" s="209" t="s">
        <v>257</v>
      </c>
      <c r="B35" s="1204" t="s">
        <v>258</v>
      </c>
      <c r="C35" s="1205"/>
      <c r="D35" s="210">
        <v>0</v>
      </c>
      <c r="E35" s="211">
        <v>52</v>
      </c>
      <c r="F35" s="1206">
        <v>0.37</v>
      </c>
      <c r="G35" s="1207"/>
      <c r="H35" s="196">
        <f>F35/10*D35*E35</f>
        <v>0</v>
      </c>
      <c r="I35" s="212">
        <v>36</v>
      </c>
      <c r="J35" s="213" t="s">
        <v>259</v>
      </c>
    </row>
    <row r="36" spans="1:10" ht="28.2" customHeight="1" x14ac:dyDescent="0.3">
      <c r="A36" s="209" t="s">
        <v>260</v>
      </c>
      <c r="B36" s="1204" t="s">
        <v>261</v>
      </c>
      <c r="C36" s="1205"/>
      <c r="D36" s="231">
        <f>Характеристика!G56</f>
        <v>9</v>
      </c>
      <c r="E36" s="211">
        <v>282</v>
      </c>
      <c r="F36" s="1199">
        <v>0.24</v>
      </c>
      <c r="G36" s="1200"/>
      <c r="H36" s="196">
        <f>F36/10*D36*E36</f>
        <v>60.911999999999999</v>
      </c>
      <c r="I36" s="212">
        <v>52</v>
      </c>
      <c r="J36" s="213" t="s">
        <v>262</v>
      </c>
    </row>
    <row r="37" spans="1:10" x14ac:dyDescent="0.3">
      <c r="A37" s="214"/>
      <c r="B37" s="1189" t="s">
        <v>263</v>
      </c>
      <c r="C37" s="1190"/>
      <c r="D37" s="215"/>
      <c r="E37" s="216"/>
      <c r="F37" s="1191"/>
      <c r="G37" s="1191"/>
      <c r="H37" s="217">
        <f>SUM(H27:H36)</f>
        <v>627.51200000000006</v>
      </c>
      <c r="I37" s="218"/>
      <c r="J37" s="219"/>
    </row>
    <row r="38" spans="1:10" ht="26.4" customHeight="1" x14ac:dyDescent="0.3">
      <c r="A38" s="1192" t="s">
        <v>264</v>
      </c>
      <c r="B38" s="1193"/>
      <c r="C38" s="1194"/>
      <c r="D38" s="1195"/>
      <c r="E38" s="1194"/>
      <c r="F38" s="1195"/>
      <c r="G38" s="1193"/>
      <c r="H38" s="1193"/>
      <c r="I38" s="1193"/>
      <c r="J38" s="1194"/>
    </row>
    <row r="39" spans="1:10" x14ac:dyDescent="0.3">
      <c r="A39" s="220"/>
      <c r="B39" s="221"/>
      <c r="C39" s="221"/>
      <c r="D39" s="220"/>
      <c r="E39" s="220"/>
      <c r="F39" s="220"/>
      <c r="G39" s="220"/>
      <c r="H39" s="222"/>
      <c r="I39" s="223"/>
      <c r="J39" s="223"/>
    </row>
    <row r="40" spans="1:10" x14ac:dyDescent="0.3">
      <c r="A40" s="1180" t="s">
        <v>265</v>
      </c>
      <c r="B40" s="1196"/>
      <c r="C40" s="1196"/>
      <c r="D40" s="1196"/>
      <c r="E40" s="1196"/>
      <c r="F40" s="1196"/>
      <c r="G40" s="1196"/>
      <c r="H40" s="1196"/>
      <c r="I40" s="1196"/>
      <c r="J40" s="1196"/>
    </row>
    <row r="41" spans="1:10" ht="72" x14ac:dyDescent="0.3">
      <c r="A41" s="1202" t="s">
        <v>187</v>
      </c>
      <c r="B41" s="1184"/>
      <c r="C41" s="224" t="s">
        <v>266</v>
      </c>
      <c r="D41" s="225" t="s">
        <v>267</v>
      </c>
      <c r="E41" s="226" t="s">
        <v>268</v>
      </c>
      <c r="F41" s="227" t="s">
        <v>269</v>
      </c>
      <c r="G41" s="227" t="s">
        <v>270</v>
      </c>
      <c r="H41" s="226" t="s">
        <v>271</v>
      </c>
      <c r="I41" s="1183" t="s">
        <v>272</v>
      </c>
      <c r="J41" s="1203"/>
    </row>
    <row r="42" spans="1:10" x14ac:dyDescent="0.3">
      <c r="A42" s="1183">
        <v>1</v>
      </c>
      <c r="B42" s="1184"/>
      <c r="C42" s="225">
        <v>2</v>
      </c>
      <c r="D42" s="228">
        <v>3</v>
      </c>
      <c r="E42" s="228">
        <v>4</v>
      </c>
      <c r="F42" s="228">
        <v>5</v>
      </c>
      <c r="G42" s="229"/>
      <c r="H42" s="228">
        <v>6</v>
      </c>
      <c r="I42" s="1185">
        <v>7</v>
      </c>
      <c r="J42" s="1186"/>
    </row>
    <row r="43" spans="1:10" x14ac:dyDescent="0.3">
      <c r="A43" s="1177" t="s">
        <v>194</v>
      </c>
      <c r="B43" s="843"/>
      <c r="C43" s="230">
        <f>H37-H31</f>
        <v>606.51200000000006</v>
      </c>
      <c r="D43" s="231">
        <f>J23</f>
        <v>1993</v>
      </c>
      <c r="E43" s="196">
        <f>ROUND(C43/D43,2)</f>
        <v>0.3</v>
      </c>
      <c r="F43" s="196">
        <f>оклади!K7</f>
        <v>4173</v>
      </c>
      <c r="G43" s="203">
        <f>E43*F43</f>
        <v>1251.8999999999999</v>
      </c>
      <c r="H43" s="196">
        <f>G43*0.13</f>
        <v>162.74699999999999</v>
      </c>
      <c r="I43" s="1187">
        <f>G43*1.09+H43</f>
        <v>1527.318</v>
      </c>
      <c r="J43" s="1188"/>
    </row>
    <row r="44" spans="1:10" ht="23.4" customHeight="1" x14ac:dyDescent="0.3">
      <c r="A44" s="1177" t="s">
        <v>196</v>
      </c>
      <c r="B44" s="1177"/>
      <c r="C44" s="230">
        <f>H31</f>
        <v>21</v>
      </c>
      <c r="D44" s="231">
        <f>J23</f>
        <v>1993</v>
      </c>
      <c r="E44" s="232">
        <f>C44/D44</f>
        <v>1.0536879076768691E-2</v>
      </c>
      <c r="F44" s="196">
        <f>оклади!K8</f>
        <v>5696</v>
      </c>
      <c r="G44" s="203">
        <f>E44*F44</f>
        <v>60.018063221274467</v>
      </c>
      <c r="H44" s="196">
        <f>G44*0.15</f>
        <v>9.00270948319117</v>
      </c>
      <c r="I44" s="1178">
        <f>G44*1.09+H44</f>
        <v>74.422398394380338</v>
      </c>
      <c r="J44" s="1179"/>
    </row>
    <row r="45" spans="1:10" x14ac:dyDescent="0.3">
      <c r="A45" s="233"/>
      <c r="B45" s="37"/>
      <c r="C45" s="234"/>
      <c r="D45" s="235"/>
      <c r="E45" s="235"/>
      <c r="F45" s="235"/>
      <c r="G45" s="236"/>
      <c r="H45" s="235"/>
      <c r="I45" s="235"/>
      <c r="J45" s="237"/>
    </row>
    <row r="46" spans="1:10" x14ac:dyDescent="0.3">
      <c r="A46" s="1180" t="s">
        <v>273</v>
      </c>
      <c r="B46" s="1180"/>
      <c r="C46" s="1180"/>
      <c r="D46" s="1180"/>
      <c r="E46" s="1180"/>
      <c r="F46" s="1180"/>
      <c r="G46" s="1180"/>
      <c r="H46" s="1180"/>
      <c r="I46" s="1180"/>
      <c r="J46" s="1180"/>
    </row>
    <row r="47" spans="1:10" ht="72" x14ac:dyDescent="0.3">
      <c r="A47" s="1171" t="s">
        <v>274</v>
      </c>
      <c r="B47" s="1181"/>
      <c r="C47" s="226" t="s">
        <v>275</v>
      </c>
      <c r="D47" s="226" t="s">
        <v>276</v>
      </c>
      <c r="E47" s="1171" t="s">
        <v>277</v>
      </c>
      <c r="F47" s="1182"/>
      <c r="G47" s="1171" t="s">
        <v>278</v>
      </c>
      <c r="H47" s="779"/>
      <c r="I47" s="1171" t="s">
        <v>279</v>
      </c>
      <c r="J47" s="779"/>
    </row>
    <row r="48" spans="1:10" x14ac:dyDescent="0.3">
      <c r="A48" s="1171">
        <v>1</v>
      </c>
      <c r="B48" s="1181"/>
      <c r="C48" s="226">
        <v>2</v>
      </c>
      <c r="D48" s="226">
        <v>3</v>
      </c>
      <c r="E48" s="1171">
        <v>4</v>
      </c>
      <c r="F48" s="1182"/>
      <c r="G48" s="1171">
        <v>5</v>
      </c>
      <c r="H48" s="779"/>
      <c r="I48" s="1171">
        <v>6</v>
      </c>
      <c r="J48" s="779"/>
    </row>
    <row r="49" spans="1:10" ht="45" customHeight="1" x14ac:dyDescent="0.3">
      <c r="A49" s="1171" t="s">
        <v>280</v>
      </c>
      <c r="B49" s="1171"/>
      <c r="C49" s="399">
        <v>1782768</v>
      </c>
      <c r="D49" s="238">
        <v>4193729</v>
      </c>
      <c r="E49" s="1172">
        <f>C49/D49*100</f>
        <v>42.51032911282536</v>
      </c>
      <c r="F49" s="771"/>
      <c r="G49" s="1173">
        <f>I43+I44</f>
        <v>1601.7403983943802</v>
      </c>
      <c r="H49" s="779"/>
      <c r="I49" s="1173">
        <f>E49*G49/100</f>
        <v>680.90511489053108</v>
      </c>
      <c r="J49" s="779"/>
    </row>
    <row r="50" spans="1:10" ht="33" customHeight="1" x14ac:dyDescent="0.3">
      <c r="A50" s="1171" t="s">
        <v>281</v>
      </c>
      <c r="B50" s="1171"/>
      <c r="C50" s="399">
        <v>2914645</v>
      </c>
      <c r="D50" s="238">
        <v>14598843</v>
      </c>
      <c r="E50" s="1172">
        <f>C50/D50*100</f>
        <v>19.964904068082657</v>
      </c>
      <c r="F50" s="771"/>
      <c r="G50" s="1173">
        <f>I11+I12+I14+I15+I49</f>
        <v>2725.6889611775355</v>
      </c>
      <c r="H50" s="779"/>
      <c r="I50" s="1173">
        <f>E50*G50/100</f>
        <v>544.1811862934137</v>
      </c>
      <c r="J50" s="779"/>
    </row>
    <row r="51" spans="1:10" ht="37.200000000000003" customHeight="1" x14ac:dyDescent="0.3">
      <c r="A51" s="1174" t="s">
        <v>282</v>
      </c>
      <c r="B51" s="1174"/>
      <c r="C51" s="400"/>
      <c r="D51" s="401"/>
      <c r="E51" s="1175"/>
      <c r="F51" s="771"/>
      <c r="G51" s="1176"/>
      <c r="H51" s="779"/>
      <c r="I51" s="1176">
        <f>SUM(I49:I50)</f>
        <v>1225.0863011839447</v>
      </c>
      <c r="J51" s="779"/>
    </row>
    <row r="52" spans="1:10" x14ac:dyDescent="0.3">
      <c r="A52" s="146"/>
      <c r="B52" s="146"/>
      <c r="C52" s="146"/>
      <c r="D52" s="146"/>
      <c r="E52" s="146"/>
      <c r="F52" s="146"/>
      <c r="G52" s="146"/>
      <c r="H52" s="146"/>
      <c r="I52" s="146"/>
      <c r="J52" s="146"/>
    </row>
    <row r="53" spans="1:10" ht="32.4" customHeight="1" x14ac:dyDescent="0.3">
      <c r="A53" s="1170" t="s">
        <v>283</v>
      </c>
      <c r="B53" s="1170"/>
      <c r="C53" s="1170"/>
      <c r="D53" s="1170"/>
      <c r="E53" s="1170"/>
      <c r="F53" s="1170"/>
      <c r="G53" s="1170"/>
      <c r="H53" s="1170"/>
      <c r="I53" s="1170"/>
      <c r="J53" s="1170"/>
    </row>
  </sheetData>
  <mergeCells count="97">
    <mergeCell ref="B10:E10"/>
    <mergeCell ref="G10:H10"/>
    <mergeCell ref="I10:J10"/>
    <mergeCell ref="A1:E1"/>
    <mergeCell ref="G1:J1"/>
    <mergeCell ref="G2:J2"/>
    <mergeCell ref="I4:J4"/>
    <mergeCell ref="G5:J5"/>
    <mergeCell ref="A6:J6"/>
    <mergeCell ref="A7:J7"/>
    <mergeCell ref="A9:J9"/>
    <mergeCell ref="F3:J3"/>
    <mergeCell ref="B13:E13"/>
    <mergeCell ref="G13:H13"/>
    <mergeCell ref="I13:J13"/>
    <mergeCell ref="B14:E14"/>
    <mergeCell ref="G14:H14"/>
    <mergeCell ref="I14:J14"/>
    <mergeCell ref="B11:E11"/>
    <mergeCell ref="G11:H11"/>
    <mergeCell ref="I11:J11"/>
    <mergeCell ref="B12:E12"/>
    <mergeCell ref="G12:H12"/>
    <mergeCell ref="I12:J12"/>
    <mergeCell ref="B15:E15"/>
    <mergeCell ref="G15:H15"/>
    <mergeCell ref="I15:J15"/>
    <mergeCell ref="B16:E16"/>
    <mergeCell ref="G16:H16"/>
    <mergeCell ref="I16:J16"/>
    <mergeCell ref="B17:E17"/>
    <mergeCell ref="G17:J17"/>
    <mergeCell ref="B18:E18"/>
    <mergeCell ref="G18:J18"/>
    <mergeCell ref="A21:J21"/>
    <mergeCell ref="A22:J22"/>
    <mergeCell ref="B29:G29"/>
    <mergeCell ref="B30:C30"/>
    <mergeCell ref="F30:G30"/>
    <mergeCell ref="B26:C26"/>
    <mergeCell ref="F26:G26"/>
    <mergeCell ref="B27:J27"/>
    <mergeCell ref="B28:C28"/>
    <mergeCell ref="F28:G28"/>
    <mergeCell ref="A23:D23"/>
    <mergeCell ref="E23:F23"/>
    <mergeCell ref="H23:I23"/>
    <mergeCell ref="B24:F24"/>
    <mergeCell ref="B25:C25"/>
    <mergeCell ref="F25:G25"/>
    <mergeCell ref="B31:C31"/>
    <mergeCell ref="F31:G31"/>
    <mergeCell ref="B32:G32"/>
    <mergeCell ref="A41:B41"/>
    <mergeCell ref="I41:J41"/>
    <mergeCell ref="B35:C35"/>
    <mergeCell ref="F35:G35"/>
    <mergeCell ref="B36:C36"/>
    <mergeCell ref="F36:G36"/>
    <mergeCell ref="B33:C33"/>
    <mergeCell ref="F33:G33"/>
    <mergeCell ref="B34:C34"/>
    <mergeCell ref="F34:G34"/>
    <mergeCell ref="A42:B42"/>
    <mergeCell ref="I42:J42"/>
    <mergeCell ref="A43:B43"/>
    <mergeCell ref="I43:J43"/>
    <mergeCell ref="B37:C37"/>
    <mergeCell ref="F37:G37"/>
    <mergeCell ref="A38:C38"/>
    <mergeCell ref="D38:E38"/>
    <mergeCell ref="F38:J38"/>
    <mergeCell ref="A40:J40"/>
    <mergeCell ref="A48:B48"/>
    <mergeCell ref="E48:F48"/>
    <mergeCell ref="G48:H48"/>
    <mergeCell ref="I48:J48"/>
    <mergeCell ref="A49:B49"/>
    <mergeCell ref="E49:F49"/>
    <mergeCell ref="G49:H49"/>
    <mergeCell ref="I49:J49"/>
    <mergeCell ref="A44:B44"/>
    <mergeCell ref="I44:J44"/>
    <mergeCell ref="A46:J46"/>
    <mergeCell ref="A47:B47"/>
    <mergeCell ref="E47:F47"/>
    <mergeCell ref="G47:H47"/>
    <mergeCell ref="I47:J47"/>
    <mergeCell ref="A53:J53"/>
    <mergeCell ref="A50:B50"/>
    <mergeCell ref="E50:F50"/>
    <mergeCell ref="G50:H50"/>
    <mergeCell ref="I50:J50"/>
    <mergeCell ref="A51:B51"/>
    <mergeCell ref="E51:F51"/>
    <mergeCell ref="G51:H51"/>
    <mergeCell ref="I51:J51"/>
  </mergeCells>
  <pageMargins left="0.7" right="0.7" top="0.75" bottom="0.75" header="0.3" footer="0.3"/>
  <pageSetup paperSize="9" scale="89" orientation="portrait" r:id="rId1"/>
  <rowBreaks count="1" manualBreakCount="1">
    <brk id="3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687B-6F01-412A-90F7-92CE6DDCAEA5}">
  <dimension ref="A1:L23"/>
  <sheetViews>
    <sheetView zoomScaleNormal="100" workbookViewId="0">
      <selection activeCell="K12" sqref="K12"/>
    </sheetView>
  </sheetViews>
  <sheetFormatPr defaultRowHeight="14.4" x14ac:dyDescent="0.3"/>
  <cols>
    <col min="9" max="9" width="6.6640625" customWidth="1"/>
  </cols>
  <sheetData>
    <row r="1" spans="1:12" x14ac:dyDescent="0.3">
      <c r="A1" s="1259" t="str">
        <f>CONCATENATE(кошторис!B4)</f>
        <v>м. КанівДніпробудівська7</v>
      </c>
      <c r="B1" s="1260"/>
      <c r="C1" s="1260"/>
      <c r="D1" s="1116"/>
      <c r="E1" s="1116"/>
      <c r="F1" s="176"/>
      <c r="G1" s="1261" t="s">
        <v>211</v>
      </c>
      <c r="H1" s="1261"/>
      <c r="I1" s="1261"/>
      <c r="J1" s="1261"/>
    </row>
    <row r="2" spans="1:12" x14ac:dyDescent="0.3">
      <c r="A2" s="176"/>
      <c r="B2" s="176"/>
      <c r="C2" s="176"/>
      <c r="D2" s="176"/>
      <c r="E2" s="176"/>
      <c r="F2" s="176"/>
      <c r="G2" s="1261" t="s">
        <v>105</v>
      </c>
      <c r="H2" s="1261"/>
      <c r="I2" s="1261"/>
      <c r="J2" s="1261"/>
    </row>
    <row r="3" spans="1:12" x14ac:dyDescent="0.3">
      <c r="A3" s="176"/>
      <c r="B3" s="176"/>
      <c r="C3" s="176"/>
      <c r="D3" s="176"/>
      <c r="E3" s="176"/>
      <c r="F3" s="176"/>
      <c r="G3" s="1265" t="s">
        <v>634</v>
      </c>
      <c r="H3" s="1265"/>
      <c r="I3" s="1265"/>
      <c r="J3" s="1265"/>
    </row>
    <row r="4" spans="1:12" x14ac:dyDescent="0.3">
      <c r="A4" s="176"/>
      <c r="B4" s="176"/>
      <c r="C4" s="176"/>
      <c r="D4" s="176"/>
      <c r="E4" s="176"/>
      <c r="F4" s="176"/>
      <c r="G4" s="247"/>
      <c r="H4" s="248"/>
      <c r="I4" s="1262" t="s">
        <v>293</v>
      </c>
      <c r="J4" s="1262"/>
    </row>
    <row r="5" spans="1:12" x14ac:dyDescent="0.3">
      <c r="A5" s="176"/>
      <c r="B5" s="176"/>
      <c r="C5" s="176"/>
      <c r="D5" s="176"/>
      <c r="E5" s="176"/>
      <c r="F5" s="176"/>
      <c r="G5" s="1261"/>
      <c r="H5" s="1261"/>
      <c r="I5" s="1261"/>
      <c r="J5" s="1261"/>
    </row>
    <row r="6" spans="1:12" x14ac:dyDescent="0.3">
      <c r="A6" s="1263" t="s">
        <v>297</v>
      </c>
      <c r="B6" s="1263"/>
      <c r="C6" s="1263"/>
      <c r="D6" s="1263"/>
      <c r="E6" s="1263"/>
      <c r="F6" s="1263"/>
      <c r="G6" s="1263"/>
      <c r="H6" s="1263"/>
      <c r="I6" s="1263"/>
      <c r="J6" s="1263"/>
    </row>
    <row r="7" spans="1:12" ht="28.2" customHeight="1" x14ac:dyDescent="0.3">
      <c r="A7" s="1281" t="s">
        <v>950</v>
      </c>
      <c r="B7" s="1281"/>
      <c r="C7" s="1281"/>
      <c r="D7" s="1281"/>
      <c r="E7" s="1281"/>
      <c r="F7" s="1281"/>
      <c r="G7" s="1281"/>
      <c r="H7" s="1281"/>
      <c r="I7" s="1281"/>
      <c r="J7" s="1281"/>
      <c r="K7" s="1281"/>
      <c r="L7" s="1281"/>
    </row>
    <row r="8" spans="1:12" ht="19.8" customHeight="1" x14ac:dyDescent="0.3">
      <c r="A8" s="1279" t="s">
        <v>496</v>
      </c>
      <c r="B8" s="1280"/>
      <c r="C8" s="1280"/>
      <c r="D8" s="1280"/>
      <c r="E8" s="1280"/>
      <c r="F8" s="1280"/>
      <c r="G8" s="1280"/>
      <c r="H8" s="1280"/>
      <c r="I8" s="1280"/>
      <c r="J8" s="1280"/>
      <c r="K8" s="1280"/>
      <c r="L8" s="1280"/>
    </row>
    <row r="9" spans="1:12" ht="39.6" x14ac:dyDescent="0.3">
      <c r="A9" s="179" t="s">
        <v>213</v>
      </c>
      <c r="B9" s="1257" t="s">
        <v>214</v>
      </c>
      <c r="C9" s="1239"/>
      <c r="D9" s="1239"/>
      <c r="E9" s="1239"/>
      <c r="F9" s="1239"/>
      <c r="G9" s="1239"/>
      <c r="H9" s="1239"/>
      <c r="I9" s="1239"/>
      <c r="J9" s="179" t="s">
        <v>215</v>
      </c>
      <c r="K9" s="179" t="s">
        <v>216</v>
      </c>
      <c r="L9" s="179" t="s">
        <v>489</v>
      </c>
    </row>
    <row r="10" spans="1:12" x14ac:dyDescent="0.3">
      <c r="A10" s="179">
        <v>1</v>
      </c>
      <c r="B10" s="1245" t="s">
        <v>490</v>
      </c>
      <c r="C10" s="1156"/>
      <c r="D10" s="1156"/>
      <c r="E10" s="1156"/>
      <c r="F10" s="1156"/>
      <c r="G10" s="1156"/>
      <c r="H10" s="1156"/>
      <c r="I10" s="1156"/>
      <c r="J10" s="256" t="s">
        <v>491</v>
      </c>
      <c r="K10" s="421">
        <f>L10*12</f>
        <v>5712</v>
      </c>
      <c r="L10" s="421">
        <f>Характеристика!L86</f>
        <v>476</v>
      </c>
    </row>
    <row r="11" spans="1:12" x14ac:dyDescent="0.3">
      <c r="A11" s="179">
        <v>2</v>
      </c>
      <c r="B11" s="1245" t="s">
        <v>499</v>
      </c>
      <c r="C11" s="1156"/>
      <c r="D11" s="1156"/>
      <c r="E11" s="1156"/>
      <c r="F11" s="1156"/>
      <c r="G11" s="1156"/>
      <c r="H11" s="1156"/>
      <c r="I11" s="1156"/>
      <c r="J11" s="256" t="s">
        <v>178</v>
      </c>
      <c r="K11" s="1277">
        <f>розрахунок!D49</f>
        <v>1.4</v>
      </c>
      <c r="L11" s="1275"/>
    </row>
    <row r="12" spans="1:12" x14ac:dyDescent="0.3">
      <c r="A12" s="179">
        <v>3</v>
      </c>
      <c r="B12" s="1278" t="s">
        <v>500</v>
      </c>
      <c r="C12" s="727"/>
      <c r="D12" s="727"/>
      <c r="E12" s="727"/>
      <c r="F12" s="727"/>
      <c r="G12" s="727"/>
      <c r="H12" s="727"/>
      <c r="I12" s="728"/>
      <c r="J12" s="256" t="s">
        <v>178</v>
      </c>
      <c r="K12" s="421">
        <f>L12*12</f>
        <v>1596.5534485164339</v>
      </c>
      <c r="L12" s="422">
        <f>L23</f>
        <v>133.04612070970282</v>
      </c>
    </row>
    <row r="13" spans="1:12" x14ac:dyDescent="0.3">
      <c r="A13" s="179">
        <v>4</v>
      </c>
      <c r="B13" s="1274" t="s">
        <v>497</v>
      </c>
      <c r="C13" s="727"/>
      <c r="D13" s="727"/>
      <c r="E13" s="727"/>
      <c r="F13" s="727"/>
      <c r="G13" s="727"/>
      <c r="H13" s="727"/>
      <c r="I13" s="728"/>
      <c r="J13" s="179" t="s">
        <v>178</v>
      </c>
      <c r="K13" s="423">
        <f>L13*12</f>
        <v>9593.3534485164328</v>
      </c>
      <c r="L13" s="423">
        <f>L12+J22</f>
        <v>799.44612070970277</v>
      </c>
    </row>
    <row r="14" spans="1:12" x14ac:dyDescent="0.3">
      <c r="A14" s="179">
        <v>5</v>
      </c>
      <c r="B14" s="1255" t="s">
        <v>120</v>
      </c>
      <c r="C14" s="1156"/>
      <c r="D14" s="1156"/>
      <c r="E14" s="1156"/>
      <c r="F14" s="1156"/>
      <c r="G14" s="1156"/>
      <c r="H14" s="1156"/>
      <c r="I14" s="1156"/>
      <c r="J14" s="256" t="s">
        <v>220</v>
      </c>
      <c r="K14" s="1249">
        <f>Характеристика!N18</f>
        <v>3207.38</v>
      </c>
      <c r="L14" s="1275"/>
    </row>
    <row r="15" spans="1:12" x14ac:dyDescent="0.3">
      <c r="A15" s="179">
        <v>6</v>
      </c>
      <c r="B15" s="1238" t="s">
        <v>498</v>
      </c>
      <c r="C15" s="1239"/>
      <c r="D15" s="1239"/>
      <c r="E15" s="1239"/>
      <c r="F15" s="1239"/>
      <c r="G15" s="1239"/>
      <c r="H15" s="1239"/>
      <c r="I15" s="1239"/>
      <c r="J15" s="179" t="s">
        <v>178</v>
      </c>
      <c r="K15" s="1240">
        <f>L13/K14</f>
        <v>0.24925207512352848</v>
      </c>
      <c r="L15" s="1276"/>
    </row>
    <row r="16" spans="1:12" x14ac:dyDescent="0.3">
      <c r="A16" s="146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</row>
    <row r="17" spans="1:12" x14ac:dyDescent="0.3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</row>
    <row r="18" spans="1:12" x14ac:dyDescent="0.3">
      <c r="A18" s="1270" t="s">
        <v>492</v>
      </c>
      <c r="B18" s="1271"/>
      <c r="C18" s="1271"/>
      <c r="D18" s="1272"/>
      <c r="E18" s="1272"/>
      <c r="F18" s="1272"/>
      <c r="G18" s="1272"/>
      <c r="H18" s="1272"/>
      <c r="I18" s="1272"/>
      <c r="J18" s="1272"/>
      <c r="K18" s="1272"/>
      <c r="L18" s="1272"/>
    </row>
    <row r="19" spans="1:12" ht="168" x14ac:dyDescent="0.3">
      <c r="A19" s="1171" t="s">
        <v>274</v>
      </c>
      <c r="B19" s="1273"/>
      <c r="C19" s="1273"/>
      <c r="D19" s="1171" t="s">
        <v>275</v>
      </c>
      <c r="E19" s="779"/>
      <c r="F19" s="1171" t="s">
        <v>493</v>
      </c>
      <c r="G19" s="779"/>
      <c r="H19" s="1171" t="s">
        <v>277</v>
      </c>
      <c r="I19" s="1182"/>
      <c r="J19" s="1171" t="s">
        <v>494</v>
      </c>
      <c r="K19" s="779"/>
      <c r="L19" s="226" t="s">
        <v>495</v>
      </c>
    </row>
    <row r="20" spans="1:12" x14ac:dyDescent="0.3">
      <c r="A20" s="1171">
        <v>1</v>
      </c>
      <c r="B20" s="779"/>
      <c r="C20" s="779"/>
      <c r="D20" s="1171">
        <v>2</v>
      </c>
      <c r="E20" s="779"/>
      <c r="F20" s="1171">
        <v>3</v>
      </c>
      <c r="G20" s="779"/>
      <c r="H20" s="1171">
        <v>4</v>
      </c>
      <c r="I20" s="1182"/>
      <c r="J20" s="1171">
        <v>5</v>
      </c>
      <c r="K20" s="779"/>
      <c r="L20" s="226">
        <v>6</v>
      </c>
    </row>
    <row r="21" spans="1:12" x14ac:dyDescent="0.3">
      <c r="A21" s="1266" t="s">
        <v>280</v>
      </c>
      <c r="B21" s="779"/>
      <c r="C21" s="779"/>
      <c r="D21" s="1267">
        <f>прибирання!C49</f>
        <v>1782768</v>
      </c>
      <c r="E21" s="779"/>
      <c r="F21" s="1173">
        <f>прибирання!D49</f>
        <v>4193729</v>
      </c>
      <c r="G21" s="779"/>
      <c r="H21" s="1172">
        <f>D21/F21*100</f>
        <v>42.51032911282536</v>
      </c>
      <c r="I21" s="771"/>
      <c r="J21" s="1173">
        <v>0</v>
      </c>
      <c r="K21" s="779"/>
      <c r="L21" s="238">
        <f>H21*J21/100</f>
        <v>0</v>
      </c>
    </row>
    <row r="22" spans="1:12" x14ac:dyDescent="0.3">
      <c r="A22" s="1266" t="s">
        <v>281</v>
      </c>
      <c r="B22" s="779"/>
      <c r="C22" s="779"/>
      <c r="D22" s="1267">
        <f>прибирання!C50</f>
        <v>2914645</v>
      </c>
      <c r="E22" s="779"/>
      <c r="F22" s="1173">
        <f>прибирання!D50</f>
        <v>14598843</v>
      </c>
      <c r="G22" s="779"/>
      <c r="H22" s="1172">
        <f>D22/F22*100</f>
        <v>19.964904068082657</v>
      </c>
      <c r="I22" s="771"/>
      <c r="J22" s="1173">
        <f>L10*K11</f>
        <v>666.4</v>
      </c>
      <c r="K22" s="779"/>
      <c r="L22" s="238">
        <f>H22*J22/100</f>
        <v>133.04612070970282</v>
      </c>
    </row>
    <row r="23" spans="1:12" x14ac:dyDescent="0.3">
      <c r="A23" s="1268" t="s">
        <v>282</v>
      </c>
      <c r="B23" s="779"/>
      <c r="C23" s="779"/>
      <c r="D23" s="1269"/>
      <c r="E23" s="779"/>
      <c r="F23" s="1176"/>
      <c r="G23" s="779"/>
      <c r="H23" s="1175"/>
      <c r="I23" s="771"/>
      <c r="J23" s="1176"/>
      <c r="K23" s="779"/>
      <c r="L23" s="401">
        <f>SUM(L21:L22)</f>
        <v>133.04612070970282</v>
      </c>
    </row>
  </sheetData>
  <mergeCells count="45">
    <mergeCell ref="G5:J5"/>
    <mergeCell ref="A1:E1"/>
    <mergeCell ref="G1:J1"/>
    <mergeCell ref="G2:J2"/>
    <mergeCell ref="G3:J3"/>
    <mergeCell ref="I4:J4"/>
    <mergeCell ref="B11:I11"/>
    <mergeCell ref="K11:L11"/>
    <mergeCell ref="B12:I12"/>
    <mergeCell ref="A6:J6"/>
    <mergeCell ref="A8:L8"/>
    <mergeCell ref="B9:I9"/>
    <mergeCell ref="B10:I10"/>
    <mergeCell ref="A7:L7"/>
    <mergeCell ref="B13:I13"/>
    <mergeCell ref="B14:I14"/>
    <mergeCell ref="K14:L14"/>
    <mergeCell ref="B15:I15"/>
    <mergeCell ref="K15:L15"/>
    <mergeCell ref="A18:L18"/>
    <mergeCell ref="A19:C19"/>
    <mergeCell ref="D19:E19"/>
    <mergeCell ref="F19:G19"/>
    <mergeCell ref="H19:I19"/>
    <mergeCell ref="J19:K19"/>
    <mergeCell ref="A21:C21"/>
    <mergeCell ref="D21:E21"/>
    <mergeCell ref="F21:G21"/>
    <mergeCell ref="H21:I21"/>
    <mergeCell ref="J21:K21"/>
    <mergeCell ref="A20:C20"/>
    <mergeCell ref="D20:E20"/>
    <mergeCell ref="F20:G20"/>
    <mergeCell ref="H20:I20"/>
    <mergeCell ref="J20:K20"/>
    <mergeCell ref="A23:C23"/>
    <mergeCell ref="D23:E23"/>
    <mergeCell ref="F23:G23"/>
    <mergeCell ref="H23:I23"/>
    <mergeCell ref="J23:K23"/>
    <mergeCell ref="A22:C22"/>
    <mergeCell ref="D22:E22"/>
    <mergeCell ref="F22:G22"/>
    <mergeCell ref="H22:I22"/>
    <mergeCell ref="J22:K22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2</vt:i4>
      </vt:variant>
    </vt:vector>
  </HeadingPairs>
  <TitlesOfParts>
    <vt:vector size="20" baseType="lpstr">
      <vt:lpstr>Характеристика</vt:lpstr>
      <vt:lpstr>перелік послуг</vt:lpstr>
      <vt:lpstr>Лист3</vt:lpstr>
      <vt:lpstr>інвентар</vt:lpstr>
      <vt:lpstr>оклади</vt:lpstr>
      <vt:lpstr>розрахунок</vt:lpstr>
      <vt:lpstr>кошторис</vt:lpstr>
      <vt:lpstr>прибирання</vt:lpstr>
      <vt:lpstr>освітлення</vt:lpstr>
      <vt:lpstr>ТО внутріньобудин</vt:lpstr>
      <vt:lpstr>вентканали</vt:lpstr>
      <vt:lpstr>поточ рем. констр.ел </vt:lpstr>
      <vt:lpstr>поточ рем. внутр.б.мереж</vt:lpstr>
      <vt:lpstr>сход.клітки</vt:lpstr>
      <vt:lpstr>Сніг</vt:lpstr>
      <vt:lpstr>дератизація</vt:lpstr>
      <vt:lpstr>ліфти</vt:lpstr>
      <vt:lpstr>диспетчериз</vt:lpstr>
      <vt:lpstr>вентканали!Область_печати</vt:lpstr>
      <vt:lpstr>кошторис!Область_печати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2019-06-18T11:17:50Z</dcterms:modified>
</cp:coreProperties>
</file>