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 filterPrivacy="1"/>
  <xr:revisionPtr revIDLastSave="0" documentId="13_ncr:1_{BE289581-5D6F-47A0-9376-1BECDCF2BC37}" xr6:coauthVersionLast="43" xr6:coauthVersionMax="43" xr10:uidLastSave="{00000000-0000-0000-0000-000000000000}"/>
  <bookViews>
    <workbookView xWindow="-108" yWindow="-108" windowWidth="23256" windowHeight="12576" tabRatio="736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90" i="9" l="1"/>
  <c r="D50" i="14" l="1"/>
  <c r="D49" i="14"/>
  <c r="D48" i="14"/>
  <c r="D43" i="14"/>
  <c r="D37" i="14"/>
  <c r="G19" i="14"/>
  <c r="E111" i="9"/>
  <c r="E110" i="9"/>
  <c r="E109" i="9"/>
  <c r="E139" i="9" s="1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F57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H10" i="12" s="1"/>
  <c r="I10" i="12" s="1"/>
  <c r="E23" i="12"/>
  <c r="C23" i="12"/>
  <c r="G23" i="12" s="1"/>
  <c r="E22" i="12"/>
  <c r="C22" i="12"/>
  <c r="G22" i="12" s="1"/>
  <c r="H14" i="12"/>
  <c r="I14" i="12" s="1"/>
  <c r="E23" i="11"/>
  <c r="E22" i="11"/>
  <c r="C23" i="11"/>
  <c r="C22" i="11"/>
  <c r="G22" i="11" s="1"/>
  <c r="G33" i="11"/>
  <c r="F33" i="11"/>
  <c r="H10" i="11" s="1"/>
  <c r="G23" i="11"/>
  <c r="H14" i="11"/>
  <c r="I14" i="11" s="1"/>
  <c r="H13" i="11"/>
  <c r="I13" i="11" s="1"/>
  <c r="H22" i="17" l="1"/>
  <c r="G57" i="14"/>
  <c r="H57" i="14" s="1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E36" i="10" l="1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I57" i="14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I11" i="13"/>
  <c r="I12" i="13" s="1"/>
  <c r="G12" i="13" s="1"/>
  <c r="G62" i="14"/>
  <c r="I62" i="14" s="1"/>
  <c r="I11" i="14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1" i="13" l="1"/>
  <c r="G130" i="9"/>
  <c r="H130" i="9" s="1"/>
  <c r="I12" i="14"/>
  <c r="G12" i="14" s="1"/>
  <c r="G11" i="14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/>
  <c r="F8" i="4"/>
  <c r="K8" i="4" s="1"/>
  <c r="F44" i="5" s="1"/>
  <c r="F10" i="4"/>
  <c r="K10" i="4" s="1"/>
  <c r="F12" i="4"/>
  <c r="K12" i="4" s="1"/>
  <c r="F9" i="4"/>
  <c r="K9" i="4" s="1"/>
  <c r="F11" i="4"/>
  <c r="K11" i="4" s="1"/>
  <c r="F7" i="4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24" i="10" l="1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G117" i="9"/>
  <c r="H117" i="9" s="1"/>
  <c r="I117" i="9" s="1"/>
  <c r="J117" i="9" s="1"/>
  <c r="G118" i="9"/>
  <c r="B10" i="7"/>
  <c r="D10" i="7" s="1"/>
  <c r="E10" i="7" s="1"/>
  <c r="I10" i="7" s="1"/>
  <c r="G44" i="5"/>
  <c r="H44" i="5" s="1"/>
  <c r="F35" i="10"/>
  <c r="G35" i="10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I44" i="5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H10" i="7" l="1"/>
  <c r="H35" i="10"/>
  <c r="I36" i="10"/>
  <c r="H12" i="10" s="1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43" i="5" l="1"/>
  <c r="I43" i="5" s="1"/>
  <c r="I11" i="5" s="1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G63" i="14" s="1"/>
  <c r="I63" i="14" s="1"/>
  <c r="I64" i="14" s="1"/>
  <c r="I13" i="14" s="1"/>
  <c r="E7" i="7"/>
  <c r="H7" i="7"/>
  <c r="G7" i="7"/>
  <c r="I174" i="7"/>
  <c r="F14" i="7" s="1"/>
  <c r="G14" i="13" l="1"/>
  <c r="G49" i="5"/>
  <c r="I49" i="5" s="1"/>
  <c r="G11" i="5"/>
  <c r="I12" i="5"/>
  <c r="G12" i="5" s="1"/>
  <c r="H11" i="10"/>
  <c r="F42" i="10"/>
  <c r="H42" i="10" s="1"/>
  <c r="G13" i="14"/>
  <c r="G18" i="14" s="1"/>
  <c r="G23" i="14" s="1"/>
  <c r="C16" i="1" s="1"/>
  <c r="I18" i="14"/>
  <c r="I23" i="14" s="1"/>
  <c r="G25" i="14" s="1"/>
  <c r="D16" i="1" s="1"/>
  <c r="G13" i="13"/>
  <c r="G16" i="13" s="1"/>
  <c r="C15" i="1" s="1"/>
  <c r="I16" i="13"/>
  <c r="G18" i="13" s="1"/>
  <c r="D15" i="1" s="1"/>
  <c r="I7" i="7"/>
  <c r="I14" i="5" s="1"/>
  <c r="F43" i="10" l="1"/>
  <c r="H43" i="10" s="1"/>
  <c r="H44" i="10" s="1"/>
  <c r="H13" i="10" s="1"/>
  <c r="F13" i="10" s="1"/>
  <c r="F11" i="10"/>
  <c r="G14" i="7"/>
  <c r="G50" i="5"/>
  <c r="H23" i="10" l="1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G16" i="5"/>
  <c r="C14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I118" i="9" s="1"/>
  <c r="J118" i="9" s="1"/>
  <c r="D14" i="7"/>
  <c r="E11" i="7" l="1"/>
  <c r="E14" i="7" s="1"/>
  <c r="J10" i="9"/>
  <c r="I123" i="9"/>
  <c r="K123" i="9" s="1"/>
  <c r="I11" i="7" l="1"/>
  <c r="J13" i="9" s="1"/>
  <c r="H13" i="9" s="1"/>
  <c r="I14" i="7"/>
  <c r="J11" i="9"/>
  <c r="H11" i="9" s="1"/>
  <c r="H10" i="9"/>
  <c r="I124" i="9" l="1"/>
  <c r="K124" i="9" s="1"/>
  <c r="K125" i="9" s="1"/>
  <c r="J12" i="9" s="1"/>
  <c r="H12" i="9" s="1"/>
  <c r="H16" i="9" s="1"/>
  <c r="C6" i="1" s="1"/>
  <c r="J16" i="9" l="1"/>
  <c r="K18" i="9" s="1"/>
  <c r="D6" i="1" s="1"/>
  <c r="C20" i="1"/>
  <c r="C21" i="1" s="1"/>
  <c r="C22" i="1" s="1"/>
  <c r="D20" i="1"/>
  <c r="D21" i="1" s="1"/>
  <c r="D22" i="1" s="1"/>
</calcChain>
</file>

<file path=xl/sharedStrings.xml><?xml version="1.0" encoding="utf-8"?>
<sst xmlns="http://schemas.openxmlformats.org/spreadsheetml/2006/main" count="1805" uniqueCount="985">
  <si>
    <t>Технічне обслуговування ліфтів</t>
  </si>
  <si>
    <t>Обслуговування систем диспетчеризації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</si>
  <si>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</si>
  <si>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</si>
  <si>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</si>
  <si>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</si>
  <si>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</si>
  <si>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</si>
  <si>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</si>
  <si>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</si>
  <si>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</si>
  <si>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</si>
  <si>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</si>
  <si>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</si>
  <si>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</si>
  <si>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</si>
  <si>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</si>
  <si>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</si>
  <si>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</si>
  <si>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</si>
  <si>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</si>
  <si>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</si>
  <si>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</si>
  <si>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</si>
  <si>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</si>
  <si>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</si>
  <si>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</si>
  <si>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</si>
  <si>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</si>
  <si>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</si>
  <si>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</si>
  <si>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</si>
  <si>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</si>
  <si>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</si>
  <si>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</si>
  <si>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</si>
  <si>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</si>
  <si>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</si>
  <si>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</si>
  <si>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</si>
  <si>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</si>
  <si>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</si>
  <si>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</si>
  <si>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</si>
  <si>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</si>
  <si>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</si>
  <si>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</si>
  <si>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</si>
  <si>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</si>
  <si>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</si>
  <si>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</si>
  <si>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</si>
  <si>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</si>
  <si>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</si>
  <si>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</si>
  <si>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</si>
  <si>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</si>
  <si>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</si>
  <si>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</si>
  <si>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</si>
  <si>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</si>
  <si>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</si>
  <si>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</si>
  <si>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</si>
  <si>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</si>
  <si>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</si>
  <si>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</si>
  <si>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</si>
  <si>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</si>
  <si>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</si>
  <si>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</si>
  <si>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</si>
  <si>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</si>
  <si>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</si>
  <si>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</si>
  <si>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</si>
  <si>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</si>
  <si>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</si>
  <si>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</si>
  <si>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</si>
  <si>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</si>
  <si>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</si>
  <si>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</si>
  <si>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</si>
  <si>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</si>
  <si>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</si>
  <si>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</si>
  <si>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</si>
  <si>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</si>
  <si>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</si>
  <si>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</si>
  <si>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</si>
  <si>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</si>
  <si>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</si>
  <si>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</si>
  <si>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</si>
  <si>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</si>
  <si>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</si>
  <si>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</si>
  <si>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</si>
  <si>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</si>
  <si>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</si>
  <si>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</si>
  <si>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</si>
  <si>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</si>
  <si>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</si>
  <si>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</si>
  <si>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</si>
  <si>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</si>
  <si>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</si>
  <si>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</si>
  <si>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</si>
  <si>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</si>
  <si>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</si>
  <si>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</si>
  <si>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</si>
  <si>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</si>
  <si>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</si>
  <si>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</si>
  <si>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</si>
  <si>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</si>
  <si>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</si>
  <si>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</si>
  <si>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</si>
  <si>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</si>
  <si>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</si>
  <si>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</si>
  <si>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</si>
  <si>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</si>
  <si>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</si>
  <si>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</si>
  <si>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</si>
  <si>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</si>
  <si>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</si>
  <si>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</si>
  <si>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</si>
  <si>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</si>
  <si>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</si>
  <si>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</si>
  <si>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</si>
  <si>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</si>
  <si>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</si>
  <si>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</si>
  <si>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</si>
  <si>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</si>
  <si>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</si>
  <si>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</si>
  <si>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</si>
  <si>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</si>
  <si>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</si>
  <si>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</si>
  <si>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</si>
  <si>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</si>
  <si>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</si>
  <si>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</si>
  <si>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</si>
  <si>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</si>
  <si>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</si>
  <si>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</si>
  <si>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</si>
  <si>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</si>
  <si>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</si>
  <si>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</si>
  <si>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</si>
  <si>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</si>
  <si>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</si>
  <si>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</si>
  <si>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</si>
  <si>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</si>
  <si>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</si>
  <si>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</si>
  <si>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</si>
  <si>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</si>
  <si>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</si>
  <si>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</si>
  <si>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</si>
  <si>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</si>
  <si>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</si>
  <si>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</si>
  <si>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</si>
  <si>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</si>
  <si>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</si>
  <si>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</si>
  <si>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</si>
  <si>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</si>
  <si>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</si>
  <si>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</si>
  <si>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</si>
  <si>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</si>
  <si>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</si>
  <si>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</si>
  <si>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</si>
  <si>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</si>
  <si>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</si>
  <si>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</si>
  <si>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</si>
  <si>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</si>
  <si>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</si>
  <si>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</si>
  <si>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</si>
  <si>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</si>
  <si>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</si>
  <si>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</si>
  <si>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</si>
  <si>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</si>
  <si>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</si>
  <si>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</si>
  <si>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</si>
  <si>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</si>
  <si>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</si>
  <si>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</si>
  <si>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</si>
  <si>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</si>
  <si>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</si>
  <si>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</si>
  <si>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</si>
  <si>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</si>
  <si>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</si>
  <si>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</si>
  <si>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</si>
  <si>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</si>
  <si>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</si>
  <si>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</si>
  <si>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</si>
  <si>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</si>
  <si>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</si>
  <si>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</si>
  <si>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</si>
  <si>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</si>
  <si>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</si>
  <si>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</si>
  <si>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</si>
  <si>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</si>
  <si>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</si>
  <si>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</si>
  <si>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</si>
  <si>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</si>
  <si>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</si>
  <si>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</si>
  <si>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</si>
  <si>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</si>
  <si>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</si>
  <si>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</si>
  <si>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</si>
  <si>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</si>
  <si>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</si>
  <si>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</si>
  <si>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</si>
  <si>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</si>
  <si>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</si>
  <si>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</si>
  <si>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</si>
  <si>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</si>
  <si>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</si>
  <si>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</si>
  <si>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</si>
  <si>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</si>
  <si>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</si>
  <si>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</si>
  <si>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</si>
  <si>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</si>
  <si>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</si>
  <si>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</si>
  <si>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</si>
  <si>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</si>
  <si>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</si>
  <si>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</si>
  <si>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</si>
  <si>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</si>
  <si>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</si>
  <si>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</si>
  <si>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>Заробітна плата двірника  з урахуванням  резерву на відпустку(9%), 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</si>
  <si>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</si>
  <si>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</si>
  <si>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</si>
  <si>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</si>
  <si>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</si>
  <si>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</si>
  <si>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</si>
  <si>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</si>
  <si>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</si>
  <si>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</si>
  <si>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</si>
  <si>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</si>
  <si>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>Середньо-місячна прожитковий мінімум відповідно до Закону України "Про державний бюджет України на 2019 рік"</t>
  </si>
  <si>
    <t>Розрахунок середньомісячного прожиткового мінмуму в 2019 році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</si>
  <si>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</si>
  <si>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</si>
  <si>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</si>
  <si>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</si>
  <si>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</si>
  <si>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</si>
  <si>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</si>
  <si>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</si>
  <si>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</si>
  <si>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</si>
  <si>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</si>
  <si>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</si>
  <si>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</si>
  <si>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</si>
  <si>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</si>
  <si>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</si>
  <si>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</si>
  <si>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</si>
  <si>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</si>
  <si>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</si>
  <si>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</si>
  <si>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</si>
  <si>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</si>
  <si>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</si>
  <si>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</si>
  <si>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</si>
  <si>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</si>
  <si>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</si>
  <si>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</si>
  <si>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</si>
  <si>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</si>
  <si>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</si>
  <si>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</si>
  <si>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</si>
  <si>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</si>
  <si>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</si>
  <si>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</si>
  <si>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</si>
  <si>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</si>
  <si>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</si>
  <si>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</si>
  <si>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</si>
  <si>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</si>
  <si>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</si>
  <si>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</si>
  <si>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</si>
  <si>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</si>
  <si>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</si>
  <si>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</si>
  <si>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</si>
  <si>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</si>
  <si>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</si>
  <si>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</si>
  <si>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</si>
  <si>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</si>
  <si>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</si>
  <si>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</si>
  <si>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</si>
  <si>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</si>
  <si>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</si>
  <si>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</si>
  <si>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</si>
  <si>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</si>
  <si>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</si>
  <si>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</si>
  <si>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</si>
  <si>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</si>
  <si>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</si>
  <si>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</si>
  <si>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</si>
  <si>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</si>
  <si>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</si>
  <si>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</si>
  <si>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</si>
  <si>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</si>
  <si>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</si>
  <si>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</si>
  <si>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</si>
  <si>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</si>
  <si>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</si>
  <si>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</si>
  <si>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</si>
  <si>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</si>
  <si>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</si>
  <si>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</si>
  <si>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</si>
  <si>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</si>
  <si>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</si>
  <si>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</si>
  <si>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</si>
  <si>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</si>
  <si>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</si>
  <si>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</si>
  <si>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</si>
  <si>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</si>
  <si>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</si>
  <si>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</si>
  <si>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</si>
  <si>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</si>
  <si>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</si>
  <si>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</si>
  <si>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</si>
  <si>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</si>
  <si>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</si>
  <si>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</si>
  <si>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</si>
  <si>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</si>
  <si>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</si>
  <si>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</si>
  <si>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</si>
  <si>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</si>
  <si>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</si>
  <si>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</si>
  <si>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</si>
  <si>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</si>
  <si>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</si>
  <si>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</si>
  <si>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</si>
  <si>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</si>
  <si>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</si>
  <si>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</si>
  <si>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</si>
  <si>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</si>
  <si>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</si>
  <si>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</si>
  <si>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</si>
  <si>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</si>
  <si>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</si>
  <si>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</si>
  <si>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</si>
  <si>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</si>
  <si>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</si>
  <si>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</si>
  <si>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</si>
  <si>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</si>
  <si>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</si>
  <si>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</si>
  <si>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</si>
  <si>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</si>
  <si>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</si>
  <si>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</si>
  <si>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</si>
  <si>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</si>
  <si>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</si>
  <si>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</si>
  <si>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</si>
  <si>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</si>
  <si>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</si>
  <si>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</si>
  <si>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</si>
  <si>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</si>
  <si>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</si>
  <si>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</si>
  <si>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</si>
  <si>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</si>
  <si>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</si>
  <si>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</si>
  <si>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</si>
  <si>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</si>
  <si>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</si>
  <si>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</si>
  <si>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</si>
  <si>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</si>
  <si>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</si>
  <si>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</si>
  <si>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</si>
  <si>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</si>
  <si>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</si>
  <si>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</si>
  <si>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</si>
  <si>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</si>
  <si>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</si>
  <si>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</si>
  <si>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</si>
  <si>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</si>
  <si>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</si>
  <si>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</si>
  <si>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</si>
  <si>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</si>
  <si>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</si>
  <si>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</si>
  <si>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</si>
  <si>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</si>
  <si>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</si>
  <si>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</si>
  <si>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</si>
  <si>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</si>
  <si>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</si>
  <si>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</si>
  <si>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</si>
  <si>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</si>
  <si>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</si>
  <si>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</si>
  <si>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</si>
  <si>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</si>
  <si>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</si>
  <si>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</si>
  <si>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</si>
  <si>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</si>
  <si>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</si>
  <si>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</si>
  <si>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</si>
  <si>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</si>
  <si>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</si>
  <si>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</si>
  <si>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</si>
  <si>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</si>
  <si>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</si>
  <si>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</si>
  <si>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</si>
  <si>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</si>
  <si>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</si>
  <si>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</si>
  <si>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</si>
  <si>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</si>
  <si>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</si>
  <si>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</si>
  <si>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</si>
  <si>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</si>
  <si>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</si>
  <si>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</si>
  <si>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</si>
  <si>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</si>
  <si>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</si>
  <si>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</si>
  <si>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</si>
  <si>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</si>
  <si>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</si>
  <si>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</si>
  <si>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</si>
  <si>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</si>
  <si>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</si>
  <si>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</si>
  <si>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</si>
  <si>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</si>
  <si>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</si>
  <si>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</si>
  <si>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</si>
  <si>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</si>
  <si>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</si>
  <si>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</si>
  <si>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</si>
  <si>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</si>
  <si>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</si>
  <si>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</si>
  <si>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</si>
  <si>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</si>
  <si>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</si>
  <si>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</si>
  <si>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</si>
  <si>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</si>
  <si>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</si>
  <si>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</si>
  <si>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</si>
  <si>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</si>
  <si>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</si>
  <si>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</si>
  <si>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</si>
  <si>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</si>
  <si>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</si>
  <si>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</si>
  <si>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</si>
  <si>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</si>
  <si>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</si>
  <si>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</si>
  <si>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</si>
  <si>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</si>
  <si>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</si>
  <si>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</si>
  <si>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</si>
  <si>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</si>
  <si>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</si>
  <si>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</si>
  <si>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</si>
  <si>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</si>
  <si>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</si>
  <si>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</si>
  <si>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</si>
  <si>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</si>
  <si>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</si>
  <si>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</si>
  <si>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</si>
  <si>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</si>
  <si>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</si>
  <si>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</si>
  <si>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</si>
  <si>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</si>
  <si>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</si>
  <si>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</si>
  <si>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</si>
  <si>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</si>
  <si>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</si>
  <si>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</si>
  <si>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</si>
  <si>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</si>
  <si>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</si>
  <si>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</si>
  <si>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</si>
  <si>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</si>
  <si>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</si>
  <si>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</si>
  <si>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</si>
  <si>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</si>
  <si>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</si>
  <si>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</si>
  <si>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</si>
  <si>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</si>
  <si>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</si>
  <si>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</si>
  <si>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</si>
  <si>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</si>
  <si>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</si>
  <si>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</si>
  <si>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</si>
  <si>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</si>
  <si>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</si>
  <si>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</si>
  <si>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</si>
  <si>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</si>
  <si>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</si>
  <si>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</si>
  <si>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</si>
  <si>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</si>
  <si>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</si>
  <si>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</si>
  <si>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</si>
  <si>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</si>
  <si>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</si>
  <si>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</si>
  <si>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</si>
  <si>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</si>
  <si>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</si>
  <si>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</si>
  <si>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</si>
  <si>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</si>
  <si>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</si>
  <si>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</si>
  <si>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</si>
  <si>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</si>
  <si>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</si>
  <si>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</si>
  <si>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</si>
  <si>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</si>
  <si>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</si>
  <si>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</si>
  <si>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</si>
  <si>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</si>
  <si>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</si>
  <si>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</si>
  <si>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</si>
  <si>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</si>
  <si>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</si>
  <si>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</si>
  <si>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</si>
  <si>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</si>
  <si>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</si>
  <si>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</si>
  <si>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</si>
  <si>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</si>
  <si>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</si>
  <si>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</si>
  <si>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</si>
  <si>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</si>
  <si>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</si>
  <si>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</si>
  <si>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</si>
  <si>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</si>
  <si>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</si>
  <si>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</si>
  <si>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</si>
  <si>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</si>
  <si>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</si>
  <si>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</si>
  <si>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</si>
  <si>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</si>
  <si>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</si>
  <si>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</si>
  <si>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</si>
  <si>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</si>
  <si>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</si>
  <si>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</si>
  <si>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</si>
  <si>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</si>
  <si>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</si>
  <si>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</si>
  <si>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</si>
  <si>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</si>
  <si>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</si>
  <si>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</si>
  <si>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</si>
  <si>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</si>
  <si>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</si>
  <si>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</si>
  <si>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</si>
  <si>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</si>
  <si>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</si>
  <si>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</si>
  <si>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</si>
  <si>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</si>
  <si>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</si>
  <si>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</si>
  <si>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</si>
  <si>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</si>
  <si>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</si>
  <si>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</si>
  <si>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</si>
  <si>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</si>
  <si>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</si>
  <si>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</si>
  <si>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</si>
  <si>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</si>
  <si>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</si>
  <si>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</si>
  <si>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</si>
  <si>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</si>
  <si>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</si>
  <si>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</si>
  <si>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</si>
  <si>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</si>
  <si>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</si>
  <si>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</si>
  <si>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</si>
  <si>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</si>
  <si>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</si>
  <si>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</si>
  <si>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</si>
  <si>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</si>
  <si>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</si>
  <si>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</si>
  <si>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</si>
  <si>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</si>
  <si>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</si>
  <si>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</si>
  <si>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</si>
  <si>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</si>
  <si>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</si>
  <si>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</si>
  <si>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</si>
  <si>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</si>
  <si>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</si>
  <si>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</si>
  <si>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</si>
  <si>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</si>
  <si>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</si>
  <si>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Заробітна плата двірника  з урахуванням відпустки(9%), грн.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</si>
  <si>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</si>
  <si>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</si>
  <si>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</si>
  <si>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</si>
  <si>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</si>
  <si>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</si>
  <si>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</si>
  <si>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</si>
  <si>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</si>
  <si>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</si>
  <si>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</si>
  <si>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</si>
  <si>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</si>
  <si>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</si>
  <si>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</si>
  <si>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</si>
  <si>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</si>
  <si>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</si>
  <si>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</si>
  <si>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</si>
  <si>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</si>
  <si>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</si>
  <si>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</si>
  <si>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</si>
  <si>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</si>
  <si>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</si>
  <si>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</si>
  <si>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</si>
  <si>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</si>
  <si>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</si>
  <si>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</si>
  <si>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</si>
  <si>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</si>
  <si>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</si>
  <si>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</si>
  <si>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</si>
  <si>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</si>
  <si>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</si>
  <si>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</si>
  <si>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</si>
  <si>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</si>
  <si>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</si>
  <si>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</si>
  <si>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</si>
  <si>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</si>
  <si>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</si>
  <si>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</si>
  <si>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</si>
  <si>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</si>
  <si>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</si>
  <si>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</si>
  <si>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</si>
  <si>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</si>
  <si>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</si>
  <si>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</si>
  <si>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</si>
  <si>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</si>
  <si>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</si>
  <si>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</si>
  <si>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</si>
  <si>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</si>
  <si>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</si>
  <si>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</si>
  <si>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</si>
  <si>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</si>
  <si>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</si>
  <si>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</si>
  <si>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</si>
  <si>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</si>
  <si>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</si>
  <si>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</si>
  <si>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</si>
  <si>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</si>
  <si>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</si>
  <si>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</si>
  <si>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</si>
  <si>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</si>
  <si>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</si>
  <si>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</si>
  <si>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</si>
  <si>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</si>
  <si>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</si>
  <si>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</si>
  <si>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</si>
  <si>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</si>
  <si>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</si>
  <si>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</si>
  <si>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</si>
  <si>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</si>
  <si>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</si>
  <si>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</si>
  <si>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</si>
  <si>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</si>
  <si>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</si>
  <si>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</si>
  <si>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</si>
  <si>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</si>
  <si>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</si>
  <si>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</si>
  <si>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 xml:space="preserve">Плановий тариф орієнтовно введення в травні 2019 року 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</si>
  <si>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</si>
  <si>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</si>
  <si>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</si>
  <si>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</si>
  <si>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</si>
  <si>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</si>
  <si>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</si>
  <si>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</si>
  <si>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</si>
  <si>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</si>
  <si>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</si>
  <si>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</si>
  <si>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</si>
  <si>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</si>
  <si>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</si>
  <si>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</si>
  <si>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</si>
  <si>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</si>
  <si>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</si>
  <si>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</si>
  <si>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</si>
  <si>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</si>
  <si>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</si>
  <si>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</si>
  <si>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</si>
  <si>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</si>
  <si>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</si>
  <si>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</si>
  <si>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</si>
  <si>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</si>
  <si>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</si>
  <si>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</si>
  <si>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</si>
  <si>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</si>
  <si>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</si>
  <si>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</si>
  <si>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</si>
  <si>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</si>
  <si>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</si>
  <si>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</si>
  <si>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</si>
  <si>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</si>
  <si>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</si>
  <si>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</si>
  <si>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</si>
  <si>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</si>
  <si>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</si>
  <si>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</si>
  <si>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</si>
  <si>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</si>
  <si>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</si>
  <si>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</si>
  <si>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</si>
  <si>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</si>
  <si>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</si>
  <si>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</si>
  <si>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</si>
  <si>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</si>
  <si>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</si>
  <si>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</si>
  <si>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</si>
  <si>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</si>
  <si>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</si>
  <si>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</si>
  <si>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</si>
  <si>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</si>
  <si>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Заробітна плата   з урахуванням премій та резерву на відпустку (9%), грн.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</si>
  <si>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</si>
  <si>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</si>
  <si>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</si>
  <si>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</si>
  <si>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</si>
  <si>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</si>
  <si>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</si>
  <si>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</si>
  <si>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</si>
  <si>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</si>
  <si>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</si>
  <si>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</si>
  <si>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</si>
  <si>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</si>
  <si>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</si>
  <si>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</si>
  <si>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</si>
  <si>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</si>
  <si>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</si>
  <si>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</si>
  <si>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</si>
  <si>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</si>
  <si>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</si>
  <si>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</si>
  <si>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</si>
  <si>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</si>
  <si>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</si>
  <si>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</si>
  <si>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</si>
  <si>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</si>
  <si>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</si>
  <si>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</si>
  <si>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</si>
  <si>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</si>
  <si>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</si>
  <si>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</si>
  <si>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</si>
  <si>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</si>
  <si>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Ремонтні роботи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</si>
  <si>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</si>
  <si>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</si>
  <si>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</si>
  <si>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</si>
  <si>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</si>
  <si>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</si>
  <si>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</si>
  <si>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</si>
  <si>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</si>
  <si>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</si>
  <si>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</si>
  <si>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</si>
  <si>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</si>
  <si>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 xml:space="preserve">  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</si>
  <si>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</si>
  <si>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</si>
  <si>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</si>
  <si>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</si>
  <si>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</si>
  <si>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</si>
  <si>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</si>
  <si>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</si>
  <si>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</si>
  <si>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</si>
  <si>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</si>
  <si>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</si>
  <si>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</si>
  <si>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</si>
  <si>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</si>
  <si>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</si>
  <si>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</si>
  <si>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</si>
  <si>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</si>
  <si>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</si>
  <si>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</si>
  <si>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</si>
  <si>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</si>
  <si>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</si>
  <si>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</si>
  <si>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</si>
  <si>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" Поточний ремонт внутрішньобудинкових систем : водопостачання ; водовідведення; теплопостачання; електропостачання; "</t>
  </si>
  <si>
    <t xml:space="preserve">Технічне обслуговування нутрішньобудинкових систем : водопостачання, водовідведення, теплопостачання, електропостачання,  газопостачання, </t>
  </si>
  <si>
    <t>Поточний ремонт внутрішньобудинкових систем:водопостачання, водовідведення, теплопостачання.</t>
  </si>
  <si>
    <t>Труби холодного водопостачання</t>
  </si>
  <si>
    <t xml:space="preserve">Труби водовідведення </t>
  </si>
  <si>
    <t>Не передбачувані роботи</t>
  </si>
  <si>
    <t>Маршала Рибалки</t>
  </si>
  <si>
    <t>1990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</si>
</sst>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77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45" fillId="0" borderId="1" xfId="0" applyFont="1" applyBorder="1" applyAlignment="1">
      <alignment vertical="center" wrapText="1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49" fontId="9" fillId="0" borderId="3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49" fontId="9" fillId="0" borderId="50" xfId="0" applyNumberFormat="1" applyFont="1" applyBorder="1" applyAlignment="1">
      <alignment horizontal="left"/>
    </xf>
    <xf numFmtId="49" fontId="9" fillId="0" borderId="46" xfId="0" applyNumberFormat="1" applyFont="1" applyBorder="1" applyAlignment="1">
      <alignment horizontal="lef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9" fillId="0" borderId="1" xfId="0" applyFont="1" applyBorder="1"/>
    <xf numFmtId="0" fontId="0" fillId="0" borderId="1" xfId="0" applyBorder="1" applyProtection="1">
      <protection locked="0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9" fillId="0" borderId="46" xfId="0" applyFont="1" applyBorder="1"/>
    <xf numFmtId="0" fontId="9" fillId="0" borderId="9" xfId="0" applyFont="1" applyBorder="1"/>
    <xf numFmtId="49" fontId="9" fillId="0" borderId="57" xfId="0" applyNumberFormat="1" applyFont="1" applyBorder="1" applyAlignment="1">
      <alignment horizontal="left"/>
    </xf>
    <xf numFmtId="0" fontId="9" fillId="0" borderId="15" xfId="0" applyFont="1" applyBorder="1"/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0" fillId="0" borderId="46" xfId="0" applyBorder="1" applyProtection="1">
      <protection locked="0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0" fillId="0" borderId="1" xfId="0" applyBorder="1" applyAlignment="1" applyProtection="1">
      <alignment horizontal="left"/>
      <protection locked="0"/>
    </xf>
    <xf numFmtId="0" fontId="11" fillId="0" borderId="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46" xfId="0" applyFont="1" applyBorder="1"/>
    <xf numFmtId="1" fontId="9" fillId="0" borderId="1" xfId="0" applyNumberFormat="1" applyFont="1" applyBorder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49" fontId="8" fillId="5" borderId="49" xfId="0" applyNumberFormat="1" applyFont="1" applyFill="1" applyBorder="1" applyAlignment="1">
      <alignment horizontal="center"/>
    </xf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44" fillId="0" borderId="15" xfId="0" applyFont="1" applyFill="1" applyBorder="1" applyAlignment="1">
      <alignment horizontal="left" vertical="top" wrapText="1"/>
    </xf>
    <xf numFmtId="0" fontId="44" fillId="0" borderId="46" xfId="0" applyFont="1" applyFill="1" applyBorder="1" applyAlignment="1">
      <alignment horizontal="left" vertical="top" wrapText="1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Protection="1">
      <protection locked="0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left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0" fontId="0" fillId="2" borderId="68" xfId="0" applyFill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2" fontId="21" fillId="0" borderId="4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justify"/>
      <protection locked="0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164" fontId="21" fillId="0" borderId="4" xfId="0" applyNumberFormat="1" applyFont="1" applyBorder="1" applyAlignment="1">
      <alignment horizontal="right" vertical="center"/>
    </xf>
    <xf numFmtId="0" fontId="0" fillId="0" borderId="6" xfId="0" applyBorder="1" applyAlignment="1" applyProtection="1">
      <alignment vertical="center"/>
      <protection locked="0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lef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2" fillId="0" borderId="1" xfId="0" applyFont="1" applyBorder="1" applyProtection="1"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35" fillId="0" borderId="0" xfId="0" applyFont="1" applyAlignment="1">
      <alignment horizont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35" fillId="0" borderId="0" xfId="0" applyFont="1" applyAlignment="1">
      <alignment horizontal="center" vertical="center" wrapText="1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4" xfId="0" applyNumberFormat="1" applyFont="1" applyBorder="1" applyAlignment="1" applyProtection="1">
      <alignment horizontal="right"/>
      <protection locked="0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0" fillId="0" borderId="6" xfId="0" applyBorder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topLeftCell="A44" zoomScaleNormal="100" workbookViewId="0">
      <selection activeCell="H56" sqref="H56:M56"/>
    </sheetView>
  </sheetViews>
  <sheetFormatPr defaultRowHeight="14.4" x14ac:dyDescent="0.3"/>
  <cols>
    <col min="8" max="8" width="9.6640625" customWidth="1"/>
  </cols>
  <sheetData>
    <row r="2" spans="1:14" x14ac:dyDescent="0.3">
      <c r="A2" s="686" t="s">
        <v>13</v>
      </c>
      <c r="B2" s="686"/>
      <c r="C2" s="686"/>
      <c r="D2" s="686"/>
      <c r="E2" s="686"/>
      <c r="F2" s="686"/>
      <c r="G2" s="686"/>
      <c r="H2" s="686"/>
      <c r="I2" s="686"/>
      <c r="J2" s="686"/>
      <c r="K2" s="686"/>
      <c r="L2" s="686"/>
      <c r="M2" s="686"/>
      <c r="N2" s="686"/>
    </row>
    <row r="3" spans="1:14" x14ac:dyDescent="0.3">
      <c r="A3" s="686"/>
      <c r="B3" s="686"/>
      <c r="C3" s="686"/>
      <c r="D3" s="686"/>
      <c r="E3" s="686"/>
      <c r="F3" s="686"/>
      <c r="G3" s="686"/>
      <c r="H3" s="686"/>
      <c r="I3" s="686"/>
      <c r="J3" s="686"/>
      <c r="K3" s="686"/>
      <c r="L3" s="686"/>
      <c r="M3" s="13"/>
      <c r="N3" s="14"/>
    </row>
    <row r="4" spans="1:14" x14ac:dyDescent="0.3">
      <c r="A4" s="15"/>
      <c r="B4" s="14"/>
      <c r="C4" s="901" t="s">
        <v>14</v>
      </c>
      <c r="D4" s="902"/>
      <c r="E4" s="902"/>
      <c r="F4" s="902"/>
      <c r="G4" s="902"/>
      <c r="H4" s="902"/>
      <c r="I4" s="902"/>
      <c r="J4" s="902"/>
      <c r="K4" s="902"/>
      <c r="L4" s="902"/>
      <c r="M4" s="902"/>
      <c r="N4" s="902"/>
    </row>
    <row r="5" spans="1:14" x14ac:dyDescent="0.3">
      <c r="A5" s="14"/>
      <c r="B5" s="14"/>
      <c r="C5" s="903"/>
      <c r="D5" s="904"/>
      <c r="E5" s="904"/>
      <c r="F5" s="904"/>
      <c r="G5" s="904"/>
      <c r="H5" s="904"/>
      <c r="I5" s="904"/>
      <c r="J5" s="904"/>
      <c r="K5" s="904"/>
      <c r="L5" s="904"/>
      <c r="M5" s="904"/>
      <c r="N5" s="904"/>
    </row>
    <row r="6" spans="1:14" x14ac:dyDescent="0.3">
      <c r="A6" s="14" t="s">
        <v>15</v>
      </c>
      <c r="B6" s="15" t="s">
        <v>16</v>
      </c>
      <c r="C6" s="16"/>
      <c r="D6" s="17" t="s">
        <v>17</v>
      </c>
      <c r="E6" s="905" t="s">
        <v>983</v>
      </c>
      <c r="F6" s="905"/>
      <c r="G6" s="905"/>
      <c r="H6" s="905"/>
      <c r="I6" s="905"/>
      <c r="J6" s="905"/>
      <c r="K6" s="17" t="s">
        <v>18</v>
      </c>
      <c r="L6" s="18" t="s">
        <v>98</v>
      </c>
      <c r="M6" s="17"/>
      <c r="N6" s="14"/>
    </row>
    <row r="7" spans="1:14" x14ac:dyDescent="0.3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950</v>
      </c>
      <c r="M7" s="14"/>
      <c r="N7" s="14"/>
    </row>
    <row r="8" spans="1:14" ht="28.8" customHeight="1" x14ac:dyDescent="0.3">
      <c r="A8" s="906" t="s">
        <v>19</v>
      </c>
      <c r="B8" s="770"/>
      <c r="C8" s="770"/>
      <c r="D8" s="906" t="s">
        <v>20</v>
      </c>
      <c r="E8" s="907"/>
      <c r="F8" s="907"/>
      <c r="G8" s="117"/>
      <c r="H8" s="118"/>
      <c r="I8" s="111"/>
      <c r="J8" s="119"/>
      <c r="K8" s="112"/>
      <c r="L8" s="117"/>
      <c r="M8" s="120"/>
      <c r="N8" s="120"/>
    </row>
    <row r="9" spans="1:14" x14ac:dyDescent="0.3">
      <c r="A9" s="897" t="s">
        <v>984</v>
      </c>
      <c r="B9" s="898"/>
      <c r="C9" s="899"/>
      <c r="D9" s="900"/>
      <c r="E9" s="900"/>
      <c r="F9" s="900"/>
      <c r="G9" s="113"/>
      <c r="H9" s="113"/>
      <c r="I9" s="113"/>
      <c r="J9" s="113"/>
      <c r="K9" s="114"/>
      <c r="L9" s="115"/>
      <c r="M9" s="116"/>
      <c r="N9" s="116"/>
    </row>
    <row r="10" spans="1:14" x14ac:dyDescent="0.3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3">
      <c r="A11" s="887" t="s">
        <v>107</v>
      </c>
      <c r="B11" s="893"/>
      <c r="C11" s="895" t="s">
        <v>108</v>
      </c>
      <c r="D11" s="895"/>
      <c r="E11" s="895" t="s">
        <v>109</v>
      </c>
      <c r="F11" s="895"/>
      <c r="G11" s="25" t="s">
        <v>110</v>
      </c>
      <c r="H11" s="110" t="s">
        <v>758</v>
      </c>
      <c r="I11" s="110" t="s">
        <v>757</v>
      </c>
      <c r="J11" s="14"/>
      <c r="K11" s="14"/>
      <c r="L11" s="26"/>
      <c r="M11" s="26"/>
      <c r="N11" s="27"/>
    </row>
    <row r="12" spans="1:14" x14ac:dyDescent="0.3">
      <c r="A12" s="894"/>
      <c r="B12" s="893"/>
      <c r="C12" s="896">
        <v>5</v>
      </c>
      <c r="D12" s="896"/>
      <c r="E12" s="896">
        <v>3</v>
      </c>
      <c r="F12" s="896"/>
      <c r="G12" s="28"/>
      <c r="H12" s="679"/>
      <c r="I12" s="679">
        <f>G12*H12</f>
        <v>0</v>
      </c>
      <c r="J12" s="115"/>
      <c r="K12" s="115"/>
      <c r="L12" s="26"/>
      <c r="M12" s="26"/>
      <c r="N12" s="27"/>
    </row>
    <row r="13" spans="1:14" ht="15" thickBot="1" x14ac:dyDescent="0.35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79.2" x14ac:dyDescent="0.3">
      <c r="A14" s="917" t="s">
        <v>111</v>
      </c>
      <c r="B14" s="918"/>
      <c r="C14" s="918"/>
      <c r="D14" s="918"/>
      <c r="E14" s="918"/>
      <c r="F14" s="918"/>
      <c r="G14" s="918"/>
      <c r="H14" s="918"/>
      <c r="I14" s="919"/>
      <c r="J14" s="920" t="s">
        <v>112</v>
      </c>
      <c r="K14" s="921"/>
      <c r="L14" s="30" t="s">
        <v>113</v>
      </c>
      <c r="M14" s="30" t="s">
        <v>114</v>
      </c>
      <c r="N14" s="31" t="s">
        <v>115</v>
      </c>
    </row>
    <row r="15" spans="1:14" x14ac:dyDescent="0.3">
      <c r="A15" s="908" t="s">
        <v>116</v>
      </c>
      <c r="B15" s="818"/>
      <c r="C15" s="818"/>
      <c r="D15" s="818"/>
      <c r="E15" s="818"/>
      <c r="F15" s="818"/>
      <c r="G15" s="818"/>
      <c r="H15" s="818"/>
      <c r="I15" s="819"/>
      <c r="J15" s="922">
        <v>88</v>
      </c>
      <c r="K15" s="923"/>
      <c r="L15" s="32">
        <v>0</v>
      </c>
      <c r="M15" s="32">
        <v>0</v>
      </c>
      <c r="N15" s="33">
        <f>J15+L15+M15</f>
        <v>88</v>
      </c>
    </row>
    <row r="16" spans="1:14" x14ac:dyDescent="0.3">
      <c r="A16" s="908" t="s">
        <v>117</v>
      </c>
      <c r="B16" s="909"/>
      <c r="C16" s="909"/>
      <c r="D16" s="909"/>
      <c r="E16" s="909"/>
      <c r="F16" s="909"/>
      <c r="G16" s="909"/>
      <c r="H16" s="909"/>
      <c r="I16" s="910"/>
      <c r="J16" s="911">
        <v>2741.9</v>
      </c>
      <c r="K16" s="912"/>
      <c r="L16" s="34">
        <v>0</v>
      </c>
      <c r="M16" s="34">
        <v>56.9</v>
      </c>
      <c r="N16" s="35">
        <f>J16+L16+M16</f>
        <v>2798.8</v>
      </c>
    </row>
    <row r="17" spans="1:14" x14ac:dyDescent="0.3">
      <c r="A17" s="908" t="s">
        <v>118</v>
      </c>
      <c r="B17" s="818"/>
      <c r="C17" s="818"/>
      <c r="D17" s="818"/>
      <c r="E17" s="818"/>
      <c r="F17" s="818"/>
      <c r="G17" s="818"/>
      <c r="H17" s="818"/>
      <c r="I17" s="819"/>
      <c r="J17" s="911"/>
      <c r="K17" s="912"/>
      <c r="L17" s="34">
        <v>0</v>
      </c>
      <c r="M17" s="34">
        <v>0</v>
      </c>
      <c r="N17" s="35">
        <f>J17+L17+M17</f>
        <v>0</v>
      </c>
    </row>
    <row r="18" spans="1:14" ht="15" thickBot="1" x14ac:dyDescent="0.35">
      <c r="A18" s="913" t="s">
        <v>119</v>
      </c>
      <c r="B18" s="914"/>
      <c r="C18" s="914"/>
      <c r="D18" s="914"/>
      <c r="E18" s="914"/>
      <c r="F18" s="914"/>
      <c r="G18" s="914"/>
      <c r="H18" s="914"/>
      <c r="I18" s="914"/>
      <c r="J18" s="915"/>
      <c r="K18" s="916"/>
      <c r="L18" s="876"/>
      <c r="M18" s="877"/>
      <c r="N18" s="36">
        <f>N16</f>
        <v>2798.8</v>
      </c>
    </row>
    <row r="19" spans="1:14" x14ac:dyDescent="0.3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3">
      <c r="A20" s="878" t="s">
        <v>120</v>
      </c>
      <c r="B20" s="879"/>
      <c r="C20" s="879"/>
      <c r="D20" s="879"/>
      <c r="E20" s="879"/>
      <c r="F20" s="879"/>
      <c r="G20" s="879"/>
      <c r="H20" s="879"/>
      <c r="I20" s="879"/>
      <c r="J20" s="879"/>
      <c r="K20" s="879"/>
      <c r="L20" s="879"/>
      <c r="M20" s="879"/>
      <c r="N20" s="880"/>
    </row>
    <row r="21" spans="1:14" hidden="1" x14ac:dyDescent="0.3">
      <c r="A21" s="881" t="s">
        <v>22</v>
      </c>
      <c r="B21" s="882"/>
      <c r="C21" s="882"/>
      <c r="D21" s="882"/>
      <c r="E21" s="882"/>
      <c r="F21" s="883"/>
      <c r="G21" s="887" t="s">
        <v>23</v>
      </c>
      <c r="H21" s="888"/>
      <c r="I21" s="888"/>
      <c r="J21" s="887" t="s">
        <v>24</v>
      </c>
      <c r="K21" s="888"/>
      <c r="L21" s="888"/>
      <c r="M21" s="888" t="s">
        <v>21</v>
      </c>
      <c r="N21" s="889"/>
    </row>
    <row r="22" spans="1:14" hidden="1" x14ac:dyDescent="0.3">
      <c r="A22" s="884"/>
      <c r="B22" s="885"/>
      <c r="C22" s="885"/>
      <c r="D22" s="885"/>
      <c r="E22" s="885"/>
      <c r="F22" s="886"/>
      <c r="G22" s="854"/>
      <c r="H22" s="854"/>
      <c r="I22" s="854"/>
      <c r="J22" s="854">
        <v>0</v>
      </c>
      <c r="K22" s="854"/>
      <c r="L22" s="854"/>
      <c r="M22" s="854">
        <f>G22+J22</f>
        <v>0</v>
      </c>
      <c r="N22" s="890"/>
    </row>
    <row r="23" spans="1:14" hidden="1" x14ac:dyDescent="0.3">
      <c r="A23" s="863" t="s">
        <v>25</v>
      </c>
      <c r="B23" s="864"/>
      <c r="C23" s="864"/>
      <c r="D23" s="864"/>
      <c r="E23" s="864"/>
      <c r="F23" s="865"/>
      <c r="G23" s="866"/>
      <c r="H23" s="867"/>
      <c r="I23" s="868"/>
      <c r="J23" s="866"/>
      <c r="K23" s="867"/>
      <c r="L23" s="868"/>
      <c r="M23" s="34">
        <f>G23+J23</f>
        <v>0</v>
      </c>
      <c r="N23" s="38">
        <v>0</v>
      </c>
    </row>
    <row r="24" spans="1:14" hidden="1" x14ac:dyDescent="0.3">
      <c r="A24" s="869" t="s">
        <v>26</v>
      </c>
      <c r="B24" s="870"/>
      <c r="C24" s="870"/>
      <c r="D24" s="870"/>
      <c r="E24" s="870"/>
      <c r="F24" s="870"/>
      <c r="G24" s="870"/>
      <c r="H24" s="870"/>
      <c r="I24" s="870"/>
      <c r="J24" s="870"/>
      <c r="K24" s="870"/>
      <c r="L24" s="870"/>
      <c r="M24" s="34"/>
      <c r="N24" s="38">
        <v>0</v>
      </c>
    </row>
    <row r="25" spans="1:14" hidden="1" x14ac:dyDescent="0.3">
      <c r="A25" s="871" t="s">
        <v>27</v>
      </c>
      <c r="B25" s="849"/>
      <c r="C25" s="849"/>
      <c r="D25" s="849"/>
      <c r="E25" s="849"/>
      <c r="F25" s="849"/>
      <c r="G25" s="850"/>
      <c r="H25" s="872" t="s">
        <v>28</v>
      </c>
      <c r="I25" s="873"/>
      <c r="J25" s="874" t="s">
        <v>29</v>
      </c>
      <c r="K25" s="875"/>
      <c r="L25" s="39" t="s">
        <v>30</v>
      </c>
      <c r="M25" s="891" t="s">
        <v>31</v>
      </c>
      <c r="N25" s="892"/>
    </row>
    <row r="26" spans="1:14" hidden="1" x14ac:dyDescent="0.3">
      <c r="A26" s="848" t="s">
        <v>32</v>
      </c>
      <c r="B26" s="849"/>
      <c r="C26" s="849"/>
      <c r="D26" s="849"/>
      <c r="E26" s="849"/>
      <c r="F26" s="849"/>
      <c r="G26" s="850"/>
      <c r="H26" s="851">
        <v>2</v>
      </c>
      <c r="I26" s="852"/>
      <c r="J26" s="853" t="s">
        <v>33</v>
      </c>
      <c r="K26" s="853"/>
      <c r="L26" s="40"/>
      <c r="M26" s="854"/>
      <c r="N26" s="855"/>
    </row>
    <row r="27" spans="1:14" hidden="1" x14ac:dyDescent="0.3">
      <c r="A27" s="848" t="s">
        <v>34</v>
      </c>
      <c r="B27" s="849"/>
      <c r="C27" s="849"/>
      <c r="D27" s="849"/>
      <c r="E27" s="849"/>
      <c r="F27" s="849"/>
      <c r="G27" s="850"/>
      <c r="H27" s="851">
        <v>2</v>
      </c>
      <c r="I27" s="852"/>
      <c r="J27" s="853" t="s">
        <v>33</v>
      </c>
      <c r="K27" s="853"/>
      <c r="L27" s="40"/>
      <c r="M27" s="854"/>
      <c r="N27" s="855"/>
    </row>
    <row r="28" spans="1:14" hidden="1" x14ac:dyDescent="0.3">
      <c r="A28" s="848" t="s">
        <v>35</v>
      </c>
      <c r="B28" s="849"/>
      <c r="C28" s="849"/>
      <c r="D28" s="849"/>
      <c r="E28" s="849"/>
      <c r="F28" s="849"/>
      <c r="G28" s="850"/>
      <c r="H28" s="851">
        <v>2</v>
      </c>
      <c r="I28" s="852"/>
      <c r="J28" s="853" t="s">
        <v>33</v>
      </c>
      <c r="K28" s="853"/>
      <c r="L28" s="40"/>
      <c r="M28" s="854"/>
      <c r="N28" s="855"/>
    </row>
    <row r="29" spans="1:14" hidden="1" x14ac:dyDescent="0.3">
      <c r="A29" s="848" t="s">
        <v>36</v>
      </c>
      <c r="B29" s="849"/>
      <c r="C29" s="849"/>
      <c r="D29" s="849"/>
      <c r="E29" s="849"/>
      <c r="F29" s="849"/>
      <c r="G29" s="850"/>
      <c r="H29" s="851">
        <v>2</v>
      </c>
      <c r="I29" s="852"/>
      <c r="J29" s="853" t="s">
        <v>33</v>
      </c>
      <c r="K29" s="853"/>
      <c r="L29" s="40"/>
      <c r="M29" s="854"/>
      <c r="N29" s="855"/>
    </row>
    <row r="30" spans="1:14" hidden="1" x14ac:dyDescent="0.3">
      <c r="A30" s="848" t="s">
        <v>37</v>
      </c>
      <c r="B30" s="849"/>
      <c r="C30" s="849"/>
      <c r="D30" s="849"/>
      <c r="E30" s="849"/>
      <c r="F30" s="849"/>
      <c r="G30" s="850"/>
      <c r="H30" s="851">
        <v>2</v>
      </c>
      <c r="I30" s="852"/>
      <c r="J30" s="853" t="s">
        <v>33</v>
      </c>
      <c r="K30" s="853"/>
      <c r="L30" s="40"/>
      <c r="M30" s="854"/>
      <c r="N30" s="855"/>
    </row>
    <row r="31" spans="1:14" hidden="1" x14ac:dyDescent="0.3">
      <c r="A31" s="848" t="s">
        <v>38</v>
      </c>
      <c r="B31" s="849"/>
      <c r="C31" s="849"/>
      <c r="D31" s="849"/>
      <c r="E31" s="849"/>
      <c r="F31" s="849"/>
      <c r="G31" s="850"/>
      <c r="H31" s="851">
        <v>2</v>
      </c>
      <c r="I31" s="852"/>
      <c r="J31" s="853" t="s">
        <v>33</v>
      </c>
      <c r="K31" s="853"/>
      <c r="L31" s="40"/>
      <c r="M31" s="854"/>
      <c r="N31" s="855"/>
    </row>
    <row r="32" spans="1:14" hidden="1" x14ac:dyDescent="0.3">
      <c r="A32" s="848" t="s">
        <v>39</v>
      </c>
      <c r="B32" s="849"/>
      <c r="C32" s="849"/>
      <c r="D32" s="849"/>
      <c r="E32" s="849"/>
      <c r="F32" s="849"/>
      <c r="G32" s="850"/>
      <c r="H32" s="851">
        <v>2</v>
      </c>
      <c r="I32" s="852"/>
      <c r="J32" s="853" t="s">
        <v>33</v>
      </c>
      <c r="K32" s="853"/>
      <c r="L32" s="40"/>
      <c r="M32" s="854"/>
      <c r="N32" s="855"/>
    </row>
    <row r="33" spans="1:14" ht="15" hidden="1" thickBot="1" x14ac:dyDescent="0.35">
      <c r="A33" s="856" t="s">
        <v>40</v>
      </c>
      <c r="B33" s="857"/>
      <c r="C33" s="857"/>
      <c r="D33" s="857"/>
      <c r="E33" s="857"/>
      <c r="F33" s="857"/>
      <c r="G33" s="857"/>
      <c r="H33" s="857"/>
      <c r="I33" s="857"/>
      <c r="J33" s="857"/>
      <c r="K33" s="857"/>
      <c r="L33" s="857"/>
      <c r="M33" s="857"/>
      <c r="N33" s="858"/>
    </row>
    <row r="34" spans="1:14" hidden="1" x14ac:dyDescent="0.3">
      <c r="A34" s="859" t="s">
        <v>41</v>
      </c>
      <c r="B34" s="831"/>
      <c r="C34" s="860"/>
      <c r="D34" s="860"/>
      <c r="E34" s="831" t="s">
        <v>42</v>
      </c>
      <c r="F34" s="831"/>
      <c r="G34" s="41"/>
      <c r="H34" s="831" t="s">
        <v>43</v>
      </c>
      <c r="I34" s="831"/>
      <c r="J34" s="861"/>
      <c r="K34" s="862"/>
      <c r="L34" s="831" t="s">
        <v>44</v>
      </c>
      <c r="M34" s="831"/>
      <c r="N34" s="42"/>
    </row>
    <row r="35" spans="1:14" hidden="1" x14ac:dyDescent="0.3">
      <c r="A35" s="832" t="s">
        <v>45</v>
      </c>
      <c r="B35" s="833"/>
      <c r="C35" s="833"/>
      <c r="D35" s="833"/>
      <c r="E35" s="834"/>
      <c r="F35" s="835"/>
      <c r="G35" s="43" t="s">
        <v>46</v>
      </c>
      <c r="H35" s="836"/>
      <c r="I35" s="837"/>
      <c r="J35" s="838" t="s">
        <v>47</v>
      </c>
      <c r="K35" s="839"/>
      <c r="L35" s="839"/>
      <c r="M35" s="840"/>
      <c r="N35" s="44"/>
    </row>
    <row r="36" spans="1:14" hidden="1" x14ac:dyDescent="0.3">
      <c r="A36" s="841" t="s">
        <v>48</v>
      </c>
      <c r="B36" s="842"/>
      <c r="C36" s="843"/>
      <c r="D36" s="844"/>
      <c r="E36" s="845" t="s">
        <v>49</v>
      </c>
      <c r="F36" s="845"/>
      <c r="G36" s="846"/>
      <c r="H36" s="846"/>
      <c r="I36" s="847"/>
      <c r="J36" s="847"/>
      <c r="K36" s="847"/>
      <c r="L36" s="45"/>
      <c r="M36" s="46" t="s">
        <v>50</v>
      </c>
      <c r="N36" s="47"/>
    </row>
    <row r="37" spans="1:14" ht="15" hidden="1" thickBot="1" x14ac:dyDescent="0.35">
      <c r="A37" s="822" t="s">
        <v>51</v>
      </c>
      <c r="B37" s="823"/>
      <c r="C37" s="823"/>
      <c r="D37" s="824"/>
      <c r="E37" s="825">
        <v>0</v>
      </c>
      <c r="F37" s="826"/>
      <c r="G37" s="827" t="s">
        <v>52</v>
      </c>
      <c r="H37" s="823"/>
      <c r="I37" s="823"/>
      <c r="J37" s="828">
        <v>0</v>
      </c>
      <c r="K37" s="829"/>
      <c r="L37" s="830" t="s">
        <v>53</v>
      </c>
      <c r="M37" s="824"/>
      <c r="N37" s="140"/>
    </row>
    <row r="38" spans="1:14" x14ac:dyDescent="0.3">
      <c r="A38" s="685" t="s">
        <v>121</v>
      </c>
      <c r="B38" s="685"/>
      <c r="C38" s="685"/>
      <c r="D38" s="685"/>
      <c r="E38" s="685"/>
      <c r="F38" s="685"/>
      <c r="G38" s="685"/>
      <c r="H38" s="685"/>
      <c r="I38" s="685"/>
      <c r="J38" s="685"/>
      <c r="K38" s="685"/>
      <c r="L38" s="685"/>
      <c r="M38" s="685"/>
      <c r="N38" s="685"/>
    </row>
    <row r="39" spans="1:14" x14ac:dyDescent="0.3">
      <c r="A39" s="683" t="s">
        <v>122</v>
      </c>
      <c r="B39" s="683"/>
      <c r="C39" s="683"/>
      <c r="D39" s="683"/>
      <c r="E39" s="683"/>
      <c r="F39" s="683"/>
      <c r="G39" s="683"/>
      <c r="H39" s="683"/>
      <c r="I39" s="124"/>
      <c r="J39" s="124"/>
      <c r="K39" s="820"/>
      <c r="L39" s="820"/>
      <c r="M39" s="686"/>
      <c r="N39" s="821"/>
    </row>
    <row r="40" spans="1:14" x14ac:dyDescent="0.3">
      <c r="A40" s="684"/>
      <c r="B40" s="684"/>
      <c r="C40" s="684"/>
      <c r="D40" s="684"/>
      <c r="E40" s="684"/>
      <c r="F40" s="684"/>
      <c r="G40" s="684"/>
      <c r="H40" s="684"/>
      <c r="I40" s="138"/>
      <c r="J40" s="139"/>
      <c r="K40" s="125"/>
      <c r="L40" s="125"/>
      <c r="M40" s="126"/>
      <c r="N40" s="125"/>
    </row>
    <row r="41" spans="1:14" x14ac:dyDescent="0.3">
      <c r="A41" s="689" t="s">
        <v>123</v>
      </c>
      <c r="B41" s="744"/>
      <c r="C41" s="744"/>
      <c r="D41" s="744"/>
      <c r="E41" s="744"/>
      <c r="F41" s="744"/>
      <c r="G41" s="744"/>
      <c r="H41" s="48">
        <v>680</v>
      </c>
      <c r="I41" s="136"/>
      <c r="J41" s="136"/>
      <c r="K41" s="127"/>
      <c r="L41" s="127"/>
      <c r="M41" s="128"/>
      <c r="N41" s="127"/>
    </row>
    <row r="42" spans="1:14" x14ac:dyDescent="0.3">
      <c r="A42" s="689" t="s">
        <v>124</v>
      </c>
      <c r="B42" s="744"/>
      <c r="C42" s="744"/>
      <c r="D42" s="744"/>
      <c r="E42" s="744"/>
      <c r="F42" s="744"/>
      <c r="G42" s="744"/>
      <c r="H42" s="48"/>
      <c r="I42" s="136"/>
      <c r="J42" s="136"/>
      <c r="K42" s="127"/>
      <c r="L42" s="127"/>
      <c r="M42" s="128"/>
      <c r="N42" s="127"/>
    </row>
    <row r="43" spans="1:14" x14ac:dyDescent="0.3">
      <c r="A43" s="689" t="s">
        <v>125</v>
      </c>
      <c r="B43" s="744"/>
      <c r="C43" s="744"/>
      <c r="D43" s="744"/>
      <c r="E43" s="744"/>
      <c r="F43" s="744"/>
      <c r="G43" s="744"/>
      <c r="H43" s="48"/>
      <c r="I43" s="136"/>
      <c r="J43" s="136"/>
      <c r="K43" s="127"/>
      <c r="L43" s="127"/>
      <c r="M43" s="128"/>
      <c r="N43" s="127"/>
    </row>
    <row r="44" spans="1:14" x14ac:dyDescent="0.3">
      <c r="A44" s="689" t="s">
        <v>126</v>
      </c>
      <c r="B44" s="744"/>
      <c r="C44" s="744"/>
      <c r="D44" s="744"/>
      <c r="E44" s="744"/>
      <c r="F44" s="744"/>
      <c r="G44" s="744"/>
      <c r="H44" s="134">
        <v>125</v>
      </c>
      <c r="I44" s="129"/>
      <c r="J44" s="129"/>
      <c r="K44" s="136"/>
      <c r="L44" s="136"/>
      <c r="M44" s="137"/>
      <c r="N44" s="129"/>
    </row>
    <row r="45" spans="1:14" x14ac:dyDescent="0.3">
      <c r="A45" s="780" t="s">
        <v>971</v>
      </c>
      <c r="B45" s="818"/>
      <c r="C45" s="818"/>
      <c r="D45" s="818"/>
      <c r="E45" s="818"/>
      <c r="F45" s="818"/>
      <c r="G45" s="819"/>
      <c r="H45" s="134">
        <v>320</v>
      </c>
      <c r="I45" s="129"/>
      <c r="J45" s="129"/>
      <c r="K45" s="136"/>
      <c r="L45" s="136"/>
      <c r="M45" s="137"/>
      <c r="N45" s="129"/>
    </row>
    <row r="46" spans="1:14" x14ac:dyDescent="0.3">
      <c r="A46" s="780" t="s">
        <v>972</v>
      </c>
      <c r="B46" s="818"/>
      <c r="C46" s="818"/>
      <c r="D46" s="818"/>
      <c r="E46" s="818"/>
      <c r="F46" s="818"/>
      <c r="G46" s="819"/>
      <c r="H46" s="134">
        <v>240</v>
      </c>
      <c r="I46" s="129"/>
      <c r="J46" s="129"/>
      <c r="K46" s="136"/>
      <c r="L46" s="136"/>
      <c r="M46" s="137"/>
      <c r="N46" s="129"/>
    </row>
    <row r="47" spans="1:14" x14ac:dyDescent="0.3">
      <c r="A47" s="780" t="s">
        <v>973</v>
      </c>
      <c r="B47" s="818"/>
      <c r="C47" s="818"/>
      <c r="D47" s="818"/>
      <c r="E47" s="818"/>
      <c r="F47" s="818"/>
      <c r="G47" s="819"/>
      <c r="H47" s="134">
        <v>240</v>
      </c>
      <c r="I47" s="129"/>
      <c r="J47" s="129"/>
      <c r="K47" s="136"/>
      <c r="L47" s="136"/>
      <c r="M47" s="137"/>
      <c r="N47" s="129"/>
    </row>
    <row r="48" spans="1:14" x14ac:dyDescent="0.3">
      <c r="A48" s="780" t="s">
        <v>974</v>
      </c>
      <c r="B48" s="818"/>
      <c r="C48" s="818"/>
      <c r="D48" s="818"/>
      <c r="E48" s="818"/>
      <c r="F48" s="818"/>
      <c r="G48" s="819"/>
      <c r="H48" s="134">
        <v>9</v>
      </c>
      <c r="I48" s="129"/>
      <c r="J48" s="129"/>
      <c r="K48" s="136"/>
      <c r="L48" s="136"/>
      <c r="M48" s="137"/>
      <c r="N48" s="129"/>
    </row>
    <row r="49" spans="1:14" x14ac:dyDescent="0.3">
      <c r="A49" s="780" t="s">
        <v>975</v>
      </c>
      <c r="B49" s="818"/>
      <c r="C49" s="818"/>
      <c r="D49" s="818"/>
      <c r="E49" s="818"/>
      <c r="F49" s="818"/>
      <c r="G49" s="819"/>
      <c r="H49" s="134">
        <v>24</v>
      </c>
      <c r="I49" s="129"/>
      <c r="J49" s="129"/>
      <c r="K49" s="136"/>
      <c r="L49" s="136"/>
      <c r="M49" s="137"/>
      <c r="N49" s="129"/>
    </row>
    <row r="50" spans="1:14" x14ac:dyDescent="0.3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3">
      <c r="A51" s="684" t="s">
        <v>127</v>
      </c>
      <c r="B51" s="684"/>
      <c r="C51" s="684"/>
      <c r="D51" s="684"/>
      <c r="E51" s="684"/>
      <c r="F51" s="684"/>
      <c r="G51" s="684"/>
      <c r="H51" s="684"/>
      <c r="I51" s="37"/>
      <c r="J51" s="37"/>
      <c r="K51" s="135"/>
      <c r="L51" s="135"/>
      <c r="M51" s="119"/>
      <c r="N51" s="112"/>
    </row>
    <row r="52" spans="1:14" x14ac:dyDescent="0.3">
      <c r="A52" s="684"/>
      <c r="B52" s="684"/>
      <c r="C52" s="684"/>
      <c r="D52" s="684"/>
      <c r="E52" s="684"/>
      <c r="F52" s="684"/>
      <c r="G52" s="684"/>
      <c r="H52" s="684"/>
      <c r="I52" s="816"/>
      <c r="J52" s="816"/>
      <c r="K52" s="130"/>
      <c r="L52" s="130"/>
      <c r="M52" s="131"/>
      <c r="N52" s="130"/>
    </row>
    <row r="53" spans="1:14" x14ac:dyDescent="0.3">
      <c r="A53" s="689" t="s">
        <v>128</v>
      </c>
      <c r="B53" s="744"/>
      <c r="C53" s="744"/>
      <c r="D53" s="744"/>
      <c r="E53" s="744"/>
      <c r="F53" s="744"/>
      <c r="G53" s="744"/>
      <c r="H53" s="48">
        <v>1670</v>
      </c>
      <c r="I53" s="817"/>
      <c r="J53" s="817"/>
      <c r="K53" s="128"/>
      <c r="L53" s="132"/>
      <c r="M53" s="133"/>
      <c r="N53" s="127"/>
    </row>
    <row r="54" spans="1:14" x14ac:dyDescent="0.3">
      <c r="A54" s="799" t="s">
        <v>129</v>
      </c>
      <c r="B54" s="800"/>
      <c r="C54" s="800"/>
      <c r="D54" s="800"/>
      <c r="E54" s="800"/>
      <c r="F54" s="800"/>
      <c r="G54" s="801"/>
      <c r="H54" s="805" t="s">
        <v>130</v>
      </c>
      <c r="I54" s="806"/>
      <c r="J54" s="806"/>
      <c r="K54" s="807"/>
      <c r="L54" s="808" t="s">
        <v>131</v>
      </c>
      <c r="M54" s="809"/>
      <c r="N54" s="810"/>
    </row>
    <row r="55" spans="1:14" ht="15" thickBot="1" x14ac:dyDescent="0.35">
      <c r="A55" s="802"/>
      <c r="B55" s="803"/>
      <c r="C55" s="803"/>
      <c r="D55" s="803"/>
      <c r="E55" s="803"/>
      <c r="F55" s="803"/>
      <c r="G55" s="804"/>
      <c r="H55" s="811">
        <v>0</v>
      </c>
      <c r="I55" s="812"/>
      <c r="J55" s="812"/>
      <c r="K55" s="813"/>
      <c r="L55" s="814">
        <v>1500</v>
      </c>
      <c r="M55" s="814"/>
      <c r="N55" s="815"/>
    </row>
    <row r="56" spans="1:14" x14ac:dyDescent="0.3">
      <c r="A56" s="705" t="s">
        <v>132</v>
      </c>
      <c r="B56" s="706"/>
      <c r="C56" s="706"/>
      <c r="D56" s="706"/>
      <c r="E56" s="706"/>
      <c r="F56" s="795"/>
      <c r="G56" s="49">
        <v>4</v>
      </c>
      <c r="H56" s="796" t="s">
        <v>133</v>
      </c>
      <c r="I56" s="797"/>
      <c r="J56" s="797"/>
      <c r="K56" s="797"/>
      <c r="L56" s="797"/>
      <c r="M56" s="798"/>
      <c r="N56" s="49">
        <v>6</v>
      </c>
    </row>
    <row r="57" spans="1:14" hidden="1" x14ac:dyDescent="0.3">
      <c r="A57" s="20"/>
      <c r="B57" s="20"/>
      <c r="C57" s="686" t="s">
        <v>54</v>
      </c>
      <c r="D57" s="785"/>
      <c r="E57" s="785"/>
      <c r="F57" s="785"/>
      <c r="G57" s="785"/>
      <c r="H57" s="785"/>
      <c r="I57" s="785"/>
      <c r="J57" s="785"/>
      <c r="K57" s="785"/>
      <c r="L57" s="785"/>
      <c r="M57" s="20"/>
      <c r="N57" s="14"/>
    </row>
    <row r="58" spans="1:14" ht="15" hidden="1" thickBot="1" x14ac:dyDescent="0.3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" hidden="1" thickBot="1" x14ac:dyDescent="0.35">
      <c r="A59" s="745" t="s">
        <v>55</v>
      </c>
      <c r="B59" s="746"/>
      <c r="C59" s="746"/>
      <c r="D59" s="746"/>
      <c r="E59" s="747"/>
      <c r="F59" s="748" t="s">
        <v>56</v>
      </c>
      <c r="G59" s="749"/>
      <c r="H59" s="749"/>
      <c r="I59" s="749"/>
      <c r="J59" s="749"/>
      <c r="K59" s="751"/>
      <c r="L59" s="751"/>
      <c r="M59" s="751"/>
      <c r="N59" s="786"/>
    </row>
    <row r="60" spans="1:14" hidden="1" x14ac:dyDescent="0.3">
      <c r="A60" s="787" t="s">
        <v>57</v>
      </c>
      <c r="B60" s="788"/>
      <c r="C60" s="788"/>
      <c r="D60" s="788"/>
      <c r="E60" s="50"/>
      <c r="F60" s="789" t="s">
        <v>58</v>
      </c>
      <c r="G60" s="790"/>
      <c r="H60" s="702" t="s">
        <v>59</v>
      </c>
      <c r="I60" s="702"/>
      <c r="J60" s="51"/>
      <c r="K60" s="792" t="s">
        <v>60</v>
      </c>
      <c r="L60" s="773"/>
      <c r="M60" s="773"/>
      <c r="N60" s="52">
        <v>1360</v>
      </c>
    </row>
    <row r="61" spans="1:14" hidden="1" x14ac:dyDescent="0.3">
      <c r="A61" s="793" t="s">
        <v>61</v>
      </c>
      <c r="B61" s="794"/>
      <c r="C61" s="794"/>
      <c r="D61" s="794"/>
      <c r="E61" s="53"/>
      <c r="F61" s="791"/>
      <c r="G61" s="790"/>
      <c r="H61" s="757" t="s">
        <v>62</v>
      </c>
      <c r="I61" s="757"/>
      <c r="J61" s="54"/>
      <c r="K61" s="778" t="s">
        <v>63</v>
      </c>
      <c r="L61" s="779"/>
      <c r="M61" s="779"/>
      <c r="N61" s="52"/>
    </row>
    <row r="62" spans="1:14" hidden="1" x14ac:dyDescent="0.3">
      <c r="A62" s="780" t="s">
        <v>64</v>
      </c>
      <c r="B62" s="694"/>
      <c r="C62" s="694"/>
      <c r="D62" s="694"/>
      <c r="E62" s="55">
        <v>1</v>
      </c>
      <c r="F62" s="781" t="s">
        <v>65</v>
      </c>
      <c r="G62" s="782"/>
      <c r="H62" s="56" t="s">
        <v>66</v>
      </c>
      <c r="I62" s="29"/>
      <c r="J62" s="57"/>
      <c r="K62" s="772" t="s">
        <v>67</v>
      </c>
      <c r="L62" s="779"/>
      <c r="M62" s="779"/>
      <c r="N62" s="19">
        <v>213</v>
      </c>
    </row>
    <row r="63" spans="1:14" hidden="1" x14ac:dyDescent="0.3">
      <c r="A63" s="780" t="s">
        <v>68</v>
      </c>
      <c r="B63" s="694"/>
      <c r="C63" s="694"/>
      <c r="D63" s="694"/>
      <c r="E63" s="55"/>
      <c r="F63" s="783"/>
      <c r="G63" s="784"/>
      <c r="H63" s="56" t="s">
        <v>69</v>
      </c>
      <c r="I63" s="58"/>
      <c r="J63" s="59"/>
      <c r="K63" s="772" t="s">
        <v>70</v>
      </c>
      <c r="L63" s="773"/>
      <c r="M63" s="773"/>
      <c r="N63" s="19">
        <v>48</v>
      </c>
    </row>
    <row r="64" spans="1:14" hidden="1" x14ac:dyDescent="0.3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772" t="s">
        <v>71</v>
      </c>
      <c r="L64" s="773"/>
      <c r="M64" s="773"/>
      <c r="N64" s="19">
        <v>2</v>
      </c>
    </row>
    <row r="65" spans="1:14" ht="15" hidden="1" thickBot="1" x14ac:dyDescent="0.35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" hidden="1" thickBot="1" x14ac:dyDescent="0.35">
      <c r="A66" s="745" t="s">
        <v>55</v>
      </c>
      <c r="B66" s="746"/>
      <c r="C66" s="746"/>
      <c r="D66" s="746"/>
      <c r="E66" s="746"/>
      <c r="F66" s="774" t="s">
        <v>72</v>
      </c>
      <c r="G66" s="750"/>
      <c r="H66" s="750"/>
      <c r="I66" s="750"/>
      <c r="J66" s="749"/>
      <c r="K66" s="752"/>
      <c r="L66" s="752"/>
      <c r="M66" s="752"/>
      <c r="N66" s="753"/>
    </row>
    <row r="67" spans="1:14" hidden="1" x14ac:dyDescent="0.3">
      <c r="A67" s="701" t="s">
        <v>73</v>
      </c>
      <c r="B67" s="754"/>
      <c r="C67" s="754"/>
      <c r="D67" s="755"/>
      <c r="E67" s="62"/>
      <c r="F67" s="689" t="s">
        <v>74</v>
      </c>
      <c r="G67" s="766"/>
      <c r="H67" s="766"/>
      <c r="I67" s="63">
        <v>0</v>
      </c>
      <c r="J67" s="14" t="s">
        <v>75</v>
      </c>
      <c r="K67" s="20"/>
      <c r="L67" s="20"/>
      <c r="M67" s="20"/>
      <c r="N67" s="64"/>
    </row>
    <row r="68" spans="1:14" hidden="1" x14ac:dyDescent="0.3">
      <c r="A68" s="698" t="s">
        <v>76</v>
      </c>
      <c r="B68" s="743"/>
      <c r="C68" s="743"/>
      <c r="D68" s="775"/>
      <c r="E68" s="65"/>
      <c r="F68" s="776" t="s">
        <v>77</v>
      </c>
      <c r="G68" s="777"/>
      <c r="H68" s="777"/>
      <c r="I68" s="66"/>
      <c r="J68" s="14"/>
      <c r="K68" s="20"/>
      <c r="L68" s="14"/>
      <c r="M68" s="20"/>
      <c r="N68" s="64"/>
    </row>
    <row r="69" spans="1:14" ht="15" hidden="1" thickBot="1" x14ac:dyDescent="0.35">
      <c r="A69" s="741" t="s">
        <v>68</v>
      </c>
      <c r="B69" s="742"/>
      <c r="C69" s="742"/>
      <c r="D69" s="742"/>
      <c r="E69" s="67"/>
      <c r="F69" s="689" t="s">
        <v>70</v>
      </c>
      <c r="G69" s="689"/>
      <c r="H69" s="689"/>
      <c r="I69" s="58" t="s">
        <v>78</v>
      </c>
      <c r="J69" s="68"/>
      <c r="K69" s="69"/>
      <c r="L69" s="68"/>
      <c r="M69" s="69"/>
      <c r="N69" s="70"/>
    </row>
    <row r="70" spans="1:14" ht="15" hidden="1" thickBot="1" x14ac:dyDescent="0.35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" hidden="1" thickBot="1" x14ac:dyDescent="0.35">
      <c r="A71" s="745" t="s">
        <v>55</v>
      </c>
      <c r="B71" s="746"/>
      <c r="C71" s="746"/>
      <c r="D71" s="746"/>
      <c r="E71" s="746"/>
      <c r="F71" s="748" t="s">
        <v>79</v>
      </c>
      <c r="G71" s="749"/>
      <c r="H71" s="749"/>
      <c r="I71" s="749"/>
      <c r="J71" s="749"/>
      <c r="K71" s="752"/>
      <c r="L71" s="752"/>
      <c r="M71" s="752"/>
      <c r="N71" s="753"/>
    </row>
    <row r="72" spans="1:14" hidden="1" x14ac:dyDescent="0.3">
      <c r="A72" s="701" t="s">
        <v>64</v>
      </c>
      <c r="B72" s="754"/>
      <c r="C72" s="754"/>
      <c r="D72" s="755"/>
      <c r="E72" s="62">
        <v>1</v>
      </c>
      <c r="F72" s="71" t="s">
        <v>80</v>
      </c>
      <c r="G72" s="72"/>
      <c r="H72" s="72"/>
      <c r="I72" s="72"/>
      <c r="J72" s="73">
        <v>0</v>
      </c>
      <c r="K72" s="771" t="s">
        <v>81</v>
      </c>
      <c r="L72" s="763"/>
      <c r="M72" s="763"/>
      <c r="N72" s="74">
        <v>375</v>
      </c>
    </row>
    <row r="73" spans="1:14" ht="15" hidden="1" thickBot="1" x14ac:dyDescent="0.35">
      <c r="A73" s="764" t="s">
        <v>82</v>
      </c>
      <c r="B73" s="765"/>
      <c r="C73" s="765"/>
      <c r="D73" s="768"/>
      <c r="E73" s="75"/>
      <c r="F73" s="769" t="s">
        <v>83</v>
      </c>
      <c r="G73" s="766"/>
      <c r="H73" s="766"/>
      <c r="I73" s="766"/>
      <c r="J73" s="76"/>
      <c r="K73" s="770" t="s">
        <v>84</v>
      </c>
      <c r="L73" s="744"/>
      <c r="M73" s="744"/>
      <c r="N73" s="52"/>
    </row>
    <row r="74" spans="1:14" hidden="1" x14ac:dyDescent="0.3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70" t="s">
        <v>70</v>
      </c>
      <c r="L74" s="744"/>
      <c r="M74" s="744"/>
      <c r="N74" s="19">
        <v>19</v>
      </c>
    </row>
    <row r="75" spans="1:14" ht="15" hidden="1" thickBot="1" x14ac:dyDescent="0.35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" hidden="1" thickBot="1" x14ac:dyDescent="0.35">
      <c r="A76" s="745" t="s">
        <v>85</v>
      </c>
      <c r="B76" s="746"/>
      <c r="C76" s="746"/>
      <c r="D76" s="746"/>
      <c r="E76" s="747"/>
      <c r="F76" s="748" t="s">
        <v>86</v>
      </c>
      <c r="G76" s="752"/>
      <c r="H76" s="752"/>
      <c r="I76" s="752"/>
      <c r="J76" s="752"/>
      <c r="K76" s="752"/>
      <c r="L76" s="752"/>
      <c r="M76" s="752"/>
      <c r="N76" s="753"/>
    </row>
    <row r="77" spans="1:14" hidden="1" x14ac:dyDescent="0.3">
      <c r="A77" s="759" t="s">
        <v>87</v>
      </c>
      <c r="B77" s="760"/>
      <c r="C77" s="760"/>
      <c r="D77" s="760"/>
      <c r="E77" s="80">
        <v>1</v>
      </c>
      <c r="F77" s="702" t="s">
        <v>88</v>
      </c>
      <c r="G77" s="761"/>
      <c r="H77" s="761"/>
      <c r="I77" s="761"/>
      <c r="J77" s="81"/>
      <c r="K77" s="762" t="s">
        <v>89</v>
      </c>
      <c r="L77" s="763"/>
      <c r="M77" s="763"/>
      <c r="N77" s="74">
        <v>516</v>
      </c>
    </row>
    <row r="78" spans="1:14" ht="15" hidden="1" thickBot="1" x14ac:dyDescent="0.35">
      <c r="A78" s="764" t="s">
        <v>90</v>
      </c>
      <c r="B78" s="765"/>
      <c r="C78" s="765"/>
      <c r="D78" s="765"/>
      <c r="E78" s="82"/>
      <c r="F78" s="689" t="s">
        <v>91</v>
      </c>
      <c r="G78" s="766"/>
      <c r="H78" s="766"/>
      <c r="I78" s="766"/>
      <c r="J78" s="29"/>
      <c r="K78" s="767" t="s">
        <v>92</v>
      </c>
      <c r="L78" s="744"/>
      <c r="M78" s="744"/>
      <c r="N78" s="19"/>
    </row>
    <row r="79" spans="1:14" ht="15" hidden="1" thickBot="1" x14ac:dyDescent="0.35">
      <c r="A79" s="741"/>
      <c r="B79" s="742"/>
      <c r="C79" s="742"/>
      <c r="D79" s="742"/>
      <c r="E79" s="69"/>
      <c r="F79" s="83" t="s">
        <v>93</v>
      </c>
      <c r="G79" s="58"/>
      <c r="H79" s="58"/>
      <c r="I79" s="29"/>
      <c r="J79" s="29"/>
      <c r="K79" s="743" t="s">
        <v>70</v>
      </c>
      <c r="L79" s="744"/>
      <c r="M79" s="744"/>
      <c r="N79" s="19"/>
    </row>
    <row r="80" spans="1:14" ht="15" hidden="1" thickBot="1" x14ac:dyDescent="0.35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" hidden="1" thickBot="1" x14ac:dyDescent="0.35">
      <c r="A81" s="745" t="s">
        <v>94</v>
      </c>
      <c r="B81" s="746"/>
      <c r="C81" s="746"/>
      <c r="D81" s="746"/>
      <c r="E81" s="747"/>
      <c r="F81" s="748" t="s">
        <v>95</v>
      </c>
      <c r="G81" s="749"/>
      <c r="H81" s="749"/>
      <c r="I81" s="749"/>
      <c r="J81" s="750"/>
      <c r="K81" s="751"/>
      <c r="L81" s="751"/>
      <c r="M81" s="752"/>
      <c r="N81" s="753"/>
    </row>
    <row r="82" spans="1:14" hidden="1" x14ac:dyDescent="0.3">
      <c r="A82" s="701" t="s">
        <v>96</v>
      </c>
      <c r="B82" s="754"/>
      <c r="C82" s="754"/>
      <c r="D82" s="755"/>
      <c r="E82" s="84"/>
      <c r="F82" s="85" t="s">
        <v>97</v>
      </c>
      <c r="G82" s="86"/>
      <c r="H82" s="87" t="s">
        <v>98</v>
      </c>
      <c r="I82" s="88" t="s">
        <v>99</v>
      </c>
      <c r="J82" s="89"/>
      <c r="K82" s="89"/>
      <c r="L82" s="90"/>
      <c r="M82" s="91" t="s">
        <v>100</v>
      </c>
      <c r="N82" s="92">
        <v>30</v>
      </c>
    </row>
    <row r="83" spans="1:14" ht="15" hidden="1" thickBot="1" x14ac:dyDescent="0.35">
      <c r="A83" s="756" t="s">
        <v>101</v>
      </c>
      <c r="B83" s="757"/>
      <c r="C83" s="757"/>
      <c r="D83" s="758"/>
      <c r="E83" s="675"/>
      <c r="F83" s="676" t="s">
        <v>102</v>
      </c>
      <c r="G83" s="677"/>
      <c r="H83" s="93">
        <v>1</v>
      </c>
      <c r="I83" s="94" t="s">
        <v>103</v>
      </c>
      <c r="J83" s="95"/>
      <c r="K83" s="96"/>
      <c r="L83" s="95"/>
      <c r="M83" s="97"/>
      <c r="N83" s="98"/>
    </row>
    <row r="84" spans="1:14" x14ac:dyDescent="0.3">
      <c r="A84" s="689" t="s">
        <v>976</v>
      </c>
      <c r="B84" s="689"/>
      <c r="C84" s="689"/>
      <c r="D84" s="689"/>
      <c r="E84" s="689"/>
      <c r="F84" s="689"/>
      <c r="G84" s="678">
        <v>4</v>
      </c>
      <c r="H84" s="141"/>
      <c r="I84" s="77"/>
      <c r="J84" s="142"/>
      <c r="K84" s="77"/>
      <c r="L84" s="142"/>
      <c r="M84" s="77"/>
      <c r="N84" s="143"/>
    </row>
    <row r="85" spans="1:14" x14ac:dyDescent="0.3">
      <c r="A85" s="729" t="s">
        <v>139</v>
      </c>
      <c r="B85" s="730"/>
      <c r="C85" s="730"/>
      <c r="D85" s="730"/>
      <c r="E85" s="730"/>
      <c r="F85" s="730"/>
      <c r="G85" s="730"/>
      <c r="H85" s="730"/>
      <c r="I85" s="730"/>
      <c r="J85" s="730"/>
      <c r="K85" s="730"/>
      <c r="L85" s="144">
        <v>1.4</v>
      </c>
      <c r="M85" s="731"/>
      <c r="N85" s="731"/>
    </row>
    <row r="86" spans="1:14" ht="15" thickBot="1" x14ac:dyDescent="0.35">
      <c r="A86" s="732" t="s">
        <v>140</v>
      </c>
      <c r="B86" s="733"/>
      <c r="C86" s="733"/>
      <c r="D86" s="733"/>
      <c r="E86" s="733"/>
      <c r="F86" s="733"/>
      <c r="G86" s="734"/>
      <c r="H86" s="735" t="s">
        <v>141</v>
      </c>
      <c r="I86" s="736"/>
      <c r="J86" s="736"/>
      <c r="K86" s="736"/>
      <c r="L86" s="100">
        <v>1047</v>
      </c>
      <c r="M86" s="99"/>
      <c r="N86" s="100"/>
    </row>
    <row r="87" spans="1:14" ht="15" thickBot="1" x14ac:dyDescent="0.35">
      <c r="A87" s="737" t="s">
        <v>134</v>
      </c>
      <c r="B87" s="738"/>
      <c r="C87" s="738"/>
      <c r="D87" s="738"/>
      <c r="E87" s="738"/>
      <c r="F87" s="738"/>
      <c r="G87" s="739"/>
      <c r="H87" s="737" t="s">
        <v>136</v>
      </c>
      <c r="I87" s="738"/>
      <c r="J87" s="738"/>
      <c r="K87" s="738"/>
      <c r="L87" s="738"/>
      <c r="M87" s="738"/>
      <c r="N87" s="740"/>
    </row>
    <row r="88" spans="1:14" x14ac:dyDescent="0.3">
      <c r="A88" s="705" t="s">
        <v>135</v>
      </c>
      <c r="B88" s="706"/>
      <c r="C88" s="706"/>
      <c r="D88" s="706"/>
      <c r="E88" s="707"/>
      <c r="F88" s="101">
        <v>0</v>
      </c>
      <c r="G88" s="102"/>
      <c r="H88" s="708" t="s">
        <v>137</v>
      </c>
      <c r="I88" s="709"/>
      <c r="J88" s="709"/>
      <c r="K88" s="709"/>
      <c r="L88" s="709"/>
      <c r="M88" s="710"/>
      <c r="N88" s="103"/>
    </row>
    <row r="89" spans="1:14" ht="15" thickBot="1" x14ac:dyDescent="0.35">
      <c r="A89" s="711"/>
      <c r="B89" s="712"/>
      <c r="C89" s="712"/>
      <c r="D89" s="712"/>
      <c r="E89" s="713"/>
      <c r="F89" s="104"/>
      <c r="G89" s="68"/>
      <c r="H89" s="105" t="s">
        <v>138</v>
      </c>
      <c r="I89" s="68"/>
      <c r="J89" s="68"/>
      <c r="K89" s="68"/>
      <c r="L89" s="68"/>
      <c r="M89" s="106"/>
      <c r="N89" s="107">
        <f>J15</f>
        <v>88</v>
      </c>
    </row>
    <row r="90" spans="1:14" x14ac:dyDescent="0.3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105</v>
      </c>
    </row>
    <row r="91" spans="1:14" ht="15" thickBot="1" x14ac:dyDescent="0.35">
      <c r="A91" s="108" t="s">
        <v>142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3">
      <c r="A92" s="714" t="s">
        <v>143</v>
      </c>
      <c r="B92" s="715"/>
      <c r="C92" s="715"/>
      <c r="D92" s="715"/>
      <c r="E92" s="716"/>
      <c r="F92" s="720" t="s">
        <v>144</v>
      </c>
      <c r="G92" s="721"/>
      <c r="H92" s="721"/>
      <c r="I92" s="721"/>
      <c r="J92" s="722"/>
      <c r="K92" s="723"/>
      <c r="L92" s="20"/>
      <c r="M92" s="20"/>
      <c r="N92" s="14"/>
    </row>
    <row r="93" spans="1:14" ht="15" thickBot="1" x14ac:dyDescent="0.35">
      <c r="A93" s="717"/>
      <c r="B93" s="718"/>
      <c r="C93" s="718"/>
      <c r="D93" s="718"/>
      <c r="E93" s="719"/>
      <c r="F93" s="724" t="s">
        <v>148</v>
      </c>
      <c r="G93" s="725"/>
      <c r="H93" s="726" t="s">
        <v>149</v>
      </c>
      <c r="I93" s="727"/>
      <c r="J93" s="727"/>
      <c r="K93" s="728"/>
      <c r="L93" s="20"/>
      <c r="M93" s="20"/>
      <c r="N93" s="14"/>
    </row>
    <row r="94" spans="1:14" x14ac:dyDescent="0.3">
      <c r="A94" s="701" t="s">
        <v>145</v>
      </c>
      <c r="B94" s="702"/>
      <c r="C94" s="702"/>
      <c r="D94" s="702"/>
      <c r="E94" s="702"/>
      <c r="F94" s="703"/>
      <c r="G94" s="703"/>
      <c r="H94" s="703"/>
      <c r="I94" s="703"/>
      <c r="J94" s="703"/>
      <c r="K94" s="704"/>
      <c r="L94" s="20"/>
      <c r="M94" s="20"/>
      <c r="N94" s="14"/>
    </row>
    <row r="95" spans="1:14" x14ac:dyDescent="0.3">
      <c r="A95" s="698" t="s">
        <v>146</v>
      </c>
      <c r="B95" s="689"/>
      <c r="C95" s="689"/>
      <c r="D95" s="689"/>
      <c r="E95" s="689"/>
      <c r="F95" s="699"/>
      <c r="G95" s="699"/>
      <c r="H95" s="699"/>
      <c r="I95" s="699"/>
      <c r="J95" s="699"/>
      <c r="K95" s="700"/>
      <c r="L95" s="20"/>
      <c r="M95" s="20"/>
      <c r="N95" s="14"/>
    </row>
    <row r="96" spans="1:14" x14ac:dyDescent="0.3">
      <c r="A96" s="698" t="s">
        <v>147</v>
      </c>
      <c r="B96" s="689"/>
      <c r="C96" s="689"/>
      <c r="D96" s="689"/>
      <c r="E96" s="689"/>
      <c r="F96" s="699"/>
      <c r="G96" s="699"/>
      <c r="H96" s="699"/>
      <c r="I96" s="699"/>
      <c r="J96" s="699"/>
      <c r="K96" s="700"/>
      <c r="L96" s="20"/>
      <c r="M96" s="20"/>
      <c r="N96" s="14"/>
    </row>
    <row r="97" spans="1:14" x14ac:dyDescent="0.3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3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3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3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3">
      <c r="A101" s="108" t="s">
        <v>150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3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3">
      <c r="A103" s="692" t="s">
        <v>151</v>
      </c>
      <c r="B103" s="693"/>
      <c r="C103" s="693"/>
      <c r="D103" s="693"/>
      <c r="E103" s="693"/>
      <c r="F103" s="693"/>
      <c r="G103" s="693"/>
      <c r="H103" s="693"/>
      <c r="I103" s="694"/>
      <c r="J103" s="694"/>
      <c r="K103" s="694"/>
      <c r="L103" s="695"/>
      <c r="M103" s="696" t="s">
        <v>152</v>
      </c>
      <c r="N103" s="697"/>
    </row>
    <row r="104" spans="1:14" x14ac:dyDescent="0.3">
      <c r="A104" s="58" t="s">
        <v>153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688">
        <v>0.15</v>
      </c>
      <c r="N104" s="688"/>
    </row>
    <row r="105" spans="1:14" x14ac:dyDescent="0.3">
      <c r="A105" s="689" t="s">
        <v>154</v>
      </c>
      <c r="B105" s="690"/>
      <c r="C105" s="690"/>
      <c r="D105" s="690"/>
      <c r="E105" s="690"/>
      <c r="F105" s="690"/>
      <c r="G105" s="690"/>
      <c r="H105" s="690"/>
      <c r="I105" s="690"/>
      <c r="J105" s="690"/>
      <c r="K105" s="690"/>
      <c r="L105" s="690"/>
      <c r="M105" s="691"/>
      <c r="N105" s="691"/>
    </row>
    <row r="106" spans="1:14" x14ac:dyDescent="0.3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3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3">
      <c r="A108" s="16"/>
      <c r="B108" s="16"/>
      <c r="C108" s="16"/>
      <c r="D108" s="16" t="s">
        <v>104</v>
      </c>
      <c r="E108" s="16"/>
      <c r="F108" s="16"/>
      <c r="G108" s="687" t="s">
        <v>105</v>
      </c>
      <c r="H108" s="687"/>
      <c r="I108" s="687"/>
      <c r="J108" s="682"/>
      <c r="K108" s="682"/>
      <c r="L108" s="682"/>
      <c r="M108" s="682"/>
      <c r="N108" s="16"/>
    </row>
    <row r="109" spans="1:14" x14ac:dyDescent="0.3">
      <c r="A109" s="16"/>
      <c r="B109" s="16"/>
      <c r="C109" s="16"/>
      <c r="D109" s="16" t="s">
        <v>106</v>
      </c>
      <c r="E109" s="16"/>
      <c r="F109" s="16"/>
      <c r="G109" s="681"/>
      <c r="H109" s="681"/>
      <c r="I109" s="681"/>
      <c r="J109" s="682"/>
      <c r="K109" s="682"/>
      <c r="L109" s="682"/>
      <c r="M109" s="682"/>
      <c r="N109" s="16"/>
    </row>
  </sheetData>
  <mergeCells count="190"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topLeftCell="A123" zoomScaleNormal="100" workbookViewId="0">
      <selection activeCell="C117" sqref="C117"/>
    </sheetView>
  </sheetViews>
  <sheetFormatPr defaultRowHeight="14.4" x14ac:dyDescent="0.3"/>
  <cols>
    <col min="1" max="1" width="6.21875" customWidth="1"/>
    <col min="3" max="3" width="16.21875" customWidth="1"/>
  </cols>
  <sheetData>
    <row r="1" spans="1:11" x14ac:dyDescent="0.3">
      <c r="A1" s="1175" t="str">
        <f>CONCATENATE(кошторис!B4)</f>
        <v>м. КанівМаршала Рибалки1</v>
      </c>
      <c r="B1" s="1176"/>
      <c r="C1" s="1176"/>
      <c r="D1" s="933"/>
      <c r="E1" s="933"/>
      <c r="H1" s="1177" t="s">
        <v>210</v>
      </c>
      <c r="I1" s="1177"/>
      <c r="J1" s="1177"/>
      <c r="K1" s="1177"/>
    </row>
    <row r="2" spans="1:11" x14ac:dyDescent="0.3">
      <c r="H2" s="1177" t="str">
        <f>прибирання!G2</f>
        <v xml:space="preserve">директор </v>
      </c>
      <c r="I2" s="1177"/>
      <c r="J2" s="1177"/>
      <c r="K2" s="1177"/>
    </row>
    <row r="3" spans="1:11" x14ac:dyDescent="0.3">
      <c r="H3" s="1181" t="s">
        <v>633</v>
      </c>
      <c r="I3" s="1181"/>
      <c r="J3" s="1181"/>
      <c r="K3" s="1181"/>
    </row>
    <row r="4" spans="1:11" x14ac:dyDescent="0.3">
      <c r="H4" s="247"/>
      <c r="I4" s="248"/>
      <c r="J4" s="1178" t="s">
        <v>292</v>
      </c>
      <c r="K4" s="1178"/>
    </row>
    <row r="6" spans="1:11" x14ac:dyDescent="0.3">
      <c r="A6" s="1179" t="s">
        <v>296</v>
      </c>
      <c r="B6" s="1179"/>
      <c r="C6" s="1179"/>
      <c r="D6" s="1179"/>
      <c r="E6" s="1179"/>
      <c r="F6" s="1179"/>
      <c r="G6" s="1179"/>
      <c r="H6" s="1179"/>
      <c r="I6" s="1179"/>
      <c r="J6" s="1179"/>
    </row>
    <row r="7" spans="1:11" ht="43.2" customHeight="1" x14ac:dyDescent="0.3">
      <c r="A7" s="1365" t="s">
        <v>925</v>
      </c>
      <c r="B7" s="1365"/>
      <c r="C7" s="1365"/>
      <c r="D7" s="1365"/>
      <c r="E7" s="1365"/>
      <c r="F7" s="1365"/>
      <c r="G7" s="1365"/>
      <c r="H7" s="1365"/>
      <c r="I7" s="1365"/>
      <c r="J7" s="1365"/>
      <c r="K7" s="1365"/>
    </row>
    <row r="8" spans="1:11" x14ac:dyDescent="0.3">
      <c r="A8" s="1366" t="s">
        <v>634</v>
      </c>
      <c r="B8" s="1366"/>
      <c r="C8" s="1366"/>
      <c r="D8" s="1366"/>
      <c r="E8" s="1366"/>
      <c r="F8" s="1366"/>
      <c r="G8" s="1366"/>
      <c r="H8" s="1366"/>
      <c r="I8" s="1366"/>
      <c r="J8" s="1366"/>
      <c r="K8" s="1366"/>
    </row>
    <row r="9" spans="1:11" ht="26.4" x14ac:dyDescent="0.3">
      <c r="A9" s="179" t="s">
        <v>226</v>
      </c>
      <c r="B9" s="1172" t="s">
        <v>213</v>
      </c>
      <c r="C9" s="1173"/>
      <c r="D9" s="1173"/>
      <c r="E9" s="1173"/>
      <c r="F9" s="1173"/>
      <c r="G9" s="179" t="s">
        <v>214</v>
      </c>
      <c r="H9" s="1172" t="s">
        <v>215</v>
      </c>
      <c r="I9" s="1173"/>
      <c r="J9" s="1363" t="s">
        <v>500</v>
      </c>
      <c r="K9" s="1364"/>
    </row>
    <row r="10" spans="1:11" ht="16.2" customHeight="1" x14ac:dyDescent="0.3">
      <c r="A10" s="179">
        <v>1</v>
      </c>
      <c r="B10" s="1182" t="s">
        <v>635</v>
      </c>
      <c r="C10" s="1159"/>
      <c r="D10" s="1159"/>
      <c r="E10" s="1159"/>
      <c r="F10" s="1159"/>
      <c r="G10" s="256" t="s">
        <v>177</v>
      </c>
      <c r="H10" s="1184">
        <f t="shared" ref="H10:H15" si="0">J10*12</f>
        <v>14354.467312594081</v>
      </c>
      <c r="I10" s="1185"/>
      <c r="J10" s="1184">
        <f>J117+J118</f>
        <v>1196.2056093828401</v>
      </c>
      <c r="K10" s="1186"/>
    </row>
    <row r="11" spans="1:11" ht="32.4" customHeight="1" x14ac:dyDescent="0.3">
      <c r="A11" s="179">
        <v>2</v>
      </c>
      <c r="B11" s="1187" t="s">
        <v>636</v>
      </c>
      <c r="C11" s="1188"/>
      <c r="D11" s="1188"/>
      <c r="E11" s="1188"/>
      <c r="F11" s="1188"/>
      <c r="G11" s="256" t="s">
        <v>177</v>
      </c>
      <c r="H11" s="1184">
        <f t="shared" si="0"/>
        <v>3157.9828087706978</v>
      </c>
      <c r="I11" s="1185"/>
      <c r="J11" s="1184">
        <f>J10*розрахунок!D40/100</f>
        <v>263.16523406422482</v>
      </c>
      <c r="K11" s="1186"/>
    </row>
    <row r="12" spans="1:11" x14ac:dyDescent="0.3">
      <c r="A12" s="179">
        <v>3</v>
      </c>
      <c r="B12" s="1182" t="s">
        <v>499</v>
      </c>
      <c r="C12" s="1183"/>
      <c r="D12" s="1183"/>
      <c r="E12" s="1183"/>
      <c r="F12" s="1183"/>
      <c r="G12" s="256" t="s">
        <v>177</v>
      </c>
      <c r="H12" s="1184">
        <f t="shared" si="0"/>
        <v>16628.727074564114</v>
      </c>
      <c r="I12" s="1185"/>
      <c r="J12" s="1184">
        <f>K125</f>
        <v>1385.7272562136764</v>
      </c>
      <c r="K12" s="1186"/>
    </row>
    <row r="13" spans="1:11" x14ac:dyDescent="0.3">
      <c r="A13" s="179">
        <v>4</v>
      </c>
      <c r="B13" s="1182" t="s">
        <v>637</v>
      </c>
      <c r="C13" s="1183"/>
      <c r="D13" s="1183"/>
      <c r="E13" s="1183"/>
      <c r="F13" s="1183"/>
      <c r="G13" s="256" t="s">
        <v>177</v>
      </c>
      <c r="H13" s="1184">
        <f t="shared" si="0"/>
        <v>7085.76</v>
      </c>
      <c r="I13" s="1185"/>
      <c r="J13" s="1184">
        <f>ROUND(інвентар!I10+інвентар!I11+H140+I143,2)</f>
        <v>590.48</v>
      </c>
      <c r="K13" s="1186"/>
    </row>
    <row r="14" spans="1:11" x14ac:dyDescent="0.3">
      <c r="A14" s="179">
        <v>5</v>
      </c>
      <c r="B14" s="1182" t="s">
        <v>486</v>
      </c>
      <c r="C14" s="1183"/>
      <c r="D14" s="1183"/>
      <c r="E14" s="1183"/>
      <c r="F14" s="1183"/>
      <c r="G14" s="256" t="s">
        <v>177</v>
      </c>
      <c r="H14" s="1184">
        <f t="shared" si="0"/>
        <v>0</v>
      </c>
      <c r="I14" s="1185"/>
      <c r="J14" s="1189">
        <v>0</v>
      </c>
      <c r="K14" s="1190"/>
    </row>
    <row r="15" spans="1:11" ht="16.2" customHeight="1" x14ac:dyDescent="0.3">
      <c r="A15" s="179">
        <v>6</v>
      </c>
      <c r="B15" s="1270" t="s">
        <v>501</v>
      </c>
      <c r="C15" s="1373"/>
      <c r="D15" s="1373"/>
      <c r="E15" s="1373"/>
      <c r="F15" s="1374"/>
      <c r="G15" s="256" t="s">
        <v>177</v>
      </c>
      <c r="H15" s="1184">
        <f t="shared" si="0"/>
        <v>22025.16</v>
      </c>
      <c r="I15" s="1185"/>
      <c r="J15" s="1189">
        <f>ROUND(розрахунок!D52*Характеристика!N18,2)</f>
        <v>1835.43</v>
      </c>
      <c r="K15" s="1375"/>
    </row>
    <row r="16" spans="1:11" ht="15.6" customHeight="1" x14ac:dyDescent="0.3">
      <c r="A16" s="179">
        <v>7</v>
      </c>
      <c r="B16" s="1191" t="s">
        <v>217</v>
      </c>
      <c r="C16" s="1192"/>
      <c r="D16" s="1192"/>
      <c r="E16" s="1192"/>
      <c r="F16" s="1192"/>
      <c r="G16" s="179" t="s">
        <v>177</v>
      </c>
      <c r="H16" s="1193">
        <f>SUM(H10:H15)</f>
        <v>63252.097195928887</v>
      </c>
      <c r="I16" s="1194"/>
      <c r="J16" s="1193">
        <f>SUM(J10:J15)</f>
        <v>5271.0080996607412</v>
      </c>
      <c r="K16" s="1194"/>
    </row>
    <row r="17" spans="1:11" x14ac:dyDescent="0.3">
      <c r="A17" s="179">
        <v>8</v>
      </c>
      <c r="B17" s="1360" t="s">
        <v>119</v>
      </c>
      <c r="C17" s="1361"/>
      <c r="D17" s="1361"/>
      <c r="E17" s="1361"/>
      <c r="F17" s="1361"/>
      <c r="G17" s="256" t="s">
        <v>219</v>
      </c>
      <c r="H17" s="1189">
        <f>Характеристика!N18</f>
        <v>2798.8</v>
      </c>
      <c r="I17" s="1362"/>
      <c r="J17" s="1362"/>
      <c r="K17" s="1269"/>
    </row>
    <row r="18" spans="1:11" x14ac:dyDescent="0.3">
      <c r="A18" s="179">
        <v>9</v>
      </c>
      <c r="B18" s="1191" t="s">
        <v>497</v>
      </c>
      <c r="C18" s="1173"/>
      <c r="D18" s="1173"/>
      <c r="E18" s="1173"/>
      <c r="F18" s="1173"/>
      <c r="G18" s="179" t="s">
        <v>177</v>
      </c>
      <c r="H18" s="584"/>
      <c r="I18" s="585"/>
      <c r="J18" s="505"/>
      <c r="K18" s="586">
        <f>J16/H17</f>
        <v>1.8833100256040949</v>
      </c>
    </row>
    <row r="19" spans="1:11" x14ac:dyDescent="0.3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3">
      <c r="A20" s="1351" t="s">
        <v>502</v>
      </c>
      <c r="B20" s="1352"/>
      <c r="C20" s="1352"/>
      <c r="D20" s="1352"/>
      <c r="E20" s="1352"/>
      <c r="F20" s="1352"/>
      <c r="G20" s="1352"/>
      <c r="H20" s="1352"/>
      <c r="I20" s="1352"/>
      <c r="J20" s="1352"/>
      <c r="K20" s="1352"/>
    </row>
    <row r="21" spans="1:11" ht="39" customHeight="1" x14ac:dyDescent="0.3">
      <c r="A21" s="1353" t="s">
        <v>768</v>
      </c>
      <c r="B21" s="1354"/>
      <c r="C21" s="1354"/>
      <c r="D21" s="1354"/>
      <c r="E21" s="1354"/>
      <c r="F21" s="1354"/>
      <c r="G21" s="1354"/>
      <c r="H21" s="1354"/>
      <c r="I21" s="1354"/>
      <c r="J21" s="1354"/>
      <c r="K21" s="1354"/>
    </row>
    <row r="22" spans="1:11" ht="30" customHeight="1" x14ac:dyDescent="0.3">
      <c r="A22" s="1355" t="s">
        <v>503</v>
      </c>
      <c r="B22" s="1356"/>
      <c r="C22" s="1356"/>
      <c r="D22" s="1356"/>
      <c r="E22" s="1356"/>
      <c r="F22" s="1356"/>
      <c r="G22" s="1356"/>
      <c r="H22" s="1356"/>
      <c r="I22" s="1356"/>
      <c r="J22" s="1356"/>
      <c r="K22" s="1356"/>
    </row>
    <row r="23" spans="1:11" x14ac:dyDescent="0.3">
      <c r="A23" s="1357" t="str">
        <f>CONCATENATE("Річний фонт робочого часу на ",[1]Расчет!C28," рік")</f>
        <v>Річний фонт робочого часу на  рік</v>
      </c>
      <c r="B23" s="1358"/>
      <c r="C23" s="1358"/>
      <c r="D23" s="1358"/>
      <c r="E23" s="1358"/>
      <c r="F23" s="1359" t="s">
        <v>504</v>
      </c>
      <c r="G23" s="1359"/>
      <c r="H23" s="429">
        <f>розрахунок!D44</f>
        <v>250</v>
      </c>
      <c r="I23" s="1359" t="s">
        <v>174</v>
      </c>
      <c r="J23" s="1359"/>
      <c r="K23" s="429">
        <f>розрахунок!D46</f>
        <v>1993</v>
      </c>
    </row>
    <row r="24" spans="1:11" x14ac:dyDescent="0.3">
      <c r="A24" s="1254" t="s">
        <v>831</v>
      </c>
      <c r="B24" s="1367"/>
      <c r="C24" s="1367"/>
      <c r="D24" s="1367"/>
      <c r="E24" s="1367"/>
      <c r="F24" s="1367"/>
      <c r="G24" s="1367"/>
      <c r="H24" s="1367"/>
      <c r="I24" s="1367"/>
      <c r="J24" s="1367"/>
      <c r="K24" s="1368"/>
    </row>
    <row r="25" spans="1:11" ht="81.599999999999994" x14ac:dyDescent="0.3">
      <c r="A25" s="188" t="s">
        <v>226</v>
      </c>
      <c r="B25" s="1226" t="s">
        <v>227</v>
      </c>
      <c r="C25" s="1227"/>
      <c r="D25" s="408" t="s">
        <v>326</v>
      </c>
      <c r="E25" s="189" t="s">
        <v>505</v>
      </c>
      <c r="F25" s="190" t="s">
        <v>506</v>
      </c>
      <c r="G25" s="1228" t="s">
        <v>507</v>
      </c>
      <c r="H25" s="1227"/>
      <c r="I25" s="191" t="s">
        <v>508</v>
      </c>
      <c r="J25" s="192" t="s">
        <v>232</v>
      </c>
      <c r="K25" s="192" t="s">
        <v>233</v>
      </c>
    </row>
    <row r="26" spans="1:11" x14ac:dyDescent="0.3">
      <c r="A26" s="430">
        <v>1</v>
      </c>
      <c r="B26" s="1347">
        <v>2</v>
      </c>
      <c r="C26" s="1348"/>
      <c r="D26" s="431">
        <v>3</v>
      </c>
      <c r="E26" s="432">
        <v>4</v>
      </c>
      <c r="F26" s="432">
        <v>5</v>
      </c>
      <c r="G26" s="1349">
        <v>6</v>
      </c>
      <c r="H26" s="1350"/>
      <c r="I26" s="432">
        <v>7</v>
      </c>
      <c r="J26" s="432">
        <v>8</v>
      </c>
      <c r="K26" s="433">
        <v>9</v>
      </c>
    </row>
    <row r="27" spans="1:11" x14ac:dyDescent="0.3">
      <c r="A27" s="226">
        <v>1</v>
      </c>
      <c r="B27" s="1299" t="s">
        <v>509</v>
      </c>
      <c r="C27" s="1252"/>
      <c r="D27" s="1252"/>
      <c r="E27" s="1252"/>
      <c r="F27" s="1252"/>
      <c r="G27" s="1252"/>
      <c r="H27" s="1253"/>
      <c r="I27" s="434"/>
      <c r="J27" s="434"/>
      <c r="K27" s="434"/>
    </row>
    <row r="28" spans="1:11" ht="22.8" customHeight="1" x14ac:dyDescent="0.3">
      <c r="A28" s="254" t="s">
        <v>224</v>
      </c>
      <c r="B28" s="1303" t="s">
        <v>510</v>
      </c>
      <c r="C28" s="1304"/>
      <c r="D28" s="435" t="s">
        <v>511</v>
      </c>
      <c r="E28" s="238">
        <f>розрахунок!D10</f>
        <v>365</v>
      </c>
      <c r="F28" s="251">
        <v>2</v>
      </c>
      <c r="G28" s="1307">
        <v>1.2</v>
      </c>
      <c r="H28" s="1307"/>
      <c r="I28" s="249">
        <f>E28/100*F28*G28</f>
        <v>8.76</v>
      </c>
      <c r="J28" s="228">
        <v>75</v>
      </c>
      <c r="K28" s="228" t="s">
        <v>512</v>
      </c>
    </row>
    <row r="29" spans="1:11" ht="25.2" customHeight="1" x14ac:dyDescent="0.3">
      <c r="A29" s="254" t="s">
        <v>513</v>
      </c>
      <c r="B29" s="1303" t="s">
        <v>514</v>
      </c>
      <c r="C29" s="1304"/>
      <c r="D29" s="435" t="s">
        <v>511</v>
      </c>
      <c r="E29" s="238">
        <f>розрахунок!D12</f>
        <v>364</v>
      </c>
      <c r="F29" s="251">
        <v>2</v>
      </c>
      <c r="G29" s="1307">
        <v>1.2</v>
      </c>
      <c r="H29" s="1307"/>
      <c r="I29" s="249">
        <f>E29/100*F29*G29</f>
        <v>8.7360000000000007</v>
      </c>
      <c r="J29" s="228">
        <v>75</v>
      </c>
      <c r="K29" s="228" t="s">
        <v>512</v>
      </c>
    </row>
    <row r="30" spans="1:11" ht="33.6" customHeight="1" x14ac:dyDescent="0.3">
      <c r="A30" s="254" t="s">
        <v>516</v>
      </c>
      <c r="B30" s="1303" t="s">
        <v>517</v>
      </c>
      <c r="C30" s="1304"/>
      <c r="D30" s="435" t="s">
        <v>515</v>
      </c>
      <c r="E30" s="238">
        <f>розрахунок!D14</f>
        <v>66</v>
      </c>
      <c r="F30" s="251">
        <v>2</v>
      </c>
      <c r="G30" s="1307">
        <v>8.8000000000000007</v>
      </c>
      <c r="H30" s="1307"/>
      <c r="I30" s="249">
        <f>E30/100*F30*G30</f>
        <v>11.616000000000001</v>
      </c>
      <c r="J30" s="228">
        <v>78</v>
      </c>
      <c r="K30" s="228" t="s">
        <v>518</v>
      </c>
    </row>
    <row r="31" spans="1:11" ht="23.4" customHeight="1" x14ac:dyDescent="0.3">
      <c r="A31" s="254" t="s">
        <v>519</v>
      </c>
      <c r="B31" s="1303" t="s">
        <v>520</v>
      </c>
      <c r="C31" s="1304"/>
      <c r="D31" s="435" t="s">
        <v>511</v>
      </c>
      <c r="E31" s="238">
        <f>розрахунок!D13</f>
        <v>500</v>
      </c>
      <c r="F31" s="251">
        <v>2</v>
      </c>
      <c r="G31" s="1307">
        <v>2.2000000000000002</v>
      </c>
      <c r="H31" s="1307"/>
      <c r="I31" s="249">
        <f>E31/100*F31*G31</f>
        <v>22</v>
      </c>
      <c r="J31" s="228">
        <v>79</v>
      </c>
      <c r="K31" s="228" t="s">
        <v>521</v>
      </c>
    </row>
    <row r="32" spans="1:11" x14ac:dyDescent="0.3">
      <c r="A32" s="254" t="s">
        <v>522</v>
      </c>
      <c r="B32" s="1299" t="s">
        <v>523</v>
      </c>
      <c r="C32" s="1252"/>
      <c r="D32" s="1252"/>
      <c r="E32" s="1252"/>
      <c r="F32" s="1252"/>
      <c r="G32" s="1252"/>
      <c r="H32" s="1253"/>
      <c r="I32" s="436"/>
      <c r="J32" s="437"/>
      <c r="K32" s="169"/>
    </row>
    <row r="33" spans="1:11" x14ac:dyDescent="0.3">
      <c r="A33" s="254" t="s">
        <v>524</v>
      </c>
      <c r="B33" s="1299" t="s">
        <v>525</v>
      </c>
      <c r="C33" s="1300"/>
      <c r="D33" s="1301"/>
      <c r="E33" s="1301"/>
      <c r="F33" s="1301"/>
      <c r="G33" s="1301"/>
      <c r="H33" s="1302"/>
      <c r="I33" s="249"/>
      <c r="J33" s="228"/>
      <c r="K33" s="228"/>
    </row>
    <row r="34" spans="1:11" ht="25.8" customHeight="1" x14ac:dyDescent="0.3">
      <c r="A34" s="254" t="s">
        <v>526</v>
      </c>
      <c r="B34" s="1346" t="s">
        <v>527</v>
      </c>
      <c r="C34" s="1346"/>
      <c r="D34" s="435" t="s">
        <v>511</v>
      </c>
      <c r="E34" s="252">
        <f>розрахунок!D11</f>
        <v>1285</v>
      </c>
      <c r="F34" s="405">
        <v>1</v>
      </c>
      <c r="G34" s="1250">
        <v>0.48</v>
      </c>
      <c r="H34" s="1250"/>
      <c r="I34" s="249">
        <f>E34*F34/100*G34</f>
        <v>6.1679999999999993</v>
      </c>
      <c r="J34" s="228">
        <v>81</v>
      </c>
      <c r="K34" s="228" t="s">
        <v>528</v>
      </c>
    </row>
    <row r="35" spans="1:11" ht="27.6" customHeight="1" x14ac:dyDescent="0.3">
      <c r="A35" s="254" t="s">
        <v>529</v>
      </c>
      <c r="B35" s="1346" t="s">
        <v>530</v>
      </c>
      <c r="C35" s="1346"/>
      <c r="D35" s="435" t="s">
        <v>511</v>
      </c>
      <c r="E35" s="252">
        <f>розрахунок!D11</f>
        <v>1285</v>
      </c>
      <c r="F35" s="405">
        <v>1</v>
      </c>
      <c r="G35" s="1250">
        <v>1.73</v>
      </c>
      <c r="H35" s="1250"/>
      <c r="I35" s="249">
        <f>E35*F35/100*G35</f>
        <v>22.230499999999999</v>
      </c>
      <c r="J35" s="228">
        <v>81</v>
      </c>
      <c r="K35" s="228" t="s">
        <v>531</v>
      </c>
    </row>
    <row r="36" spans="1:11" ht="24" customHeight="1" x14ac:dyDescent="0.3">
      <c r="A36" s="254" t="s">
        <v>532</v>
      </c>
      <c r="B36" s="1303" t="s">
        <v>533</v>
      </c>
      <c r="C36" s="1304"/>
      <c r="D36" s="435" t="s">
        <v>511</v>
      </c>
      <c r="E36" s="238">
        <f>розрахунок!D11</f>
        <v>1285</v>
      </c>
      <c r="F36" s="251">
        <v>1</v>
      </c>
      <c r="G36" s="1307">
        <v>2.2000000000000002</v>
      </c>
      <c r="H36" s="1307"/>
      <c r="I36" s="249">
        <f>E36/100*F36*G36</f>
        <v>28.270000000000003</v>
      </c>
      <c r="J36" s="228">
        <v>82</v>
      </c>
      <c r="K36" s="228" t="s">
        <v>534</v>
      </c>
    </row>
    <row r="37" spans="1:11" ht="16.8" customHeight="1" x14ac:dyDescent="0.3">
      <c r="A37" s="254" t="s">
        <v>535</v>
      </c>
      <c r="B37" s="1303" t="s">
        <v>536</v>
      </c>
      <c r="C37" s="1304"/>
      <c r="D37" s="435" t="s">
        <v>537</v>
      </c>
      <c r="E37" s="238">
        <f>розрахунок!D15</f>
        <v>4</v>
      </c>
      <c r="F37" s="251">
        <v>1</v>
      </c>
      <c r="G37" s="1307">
        <v>1.5</v>
      </c>
      <c r="H37" s="1307"/>
      <c r="I37" s="249">
        <f>E37*F37*G37</f>
        <v>6</v>
      </c>
      <c r="J37" s="228">
        <v>82</v>
      </c>
      <c r="K37" s="228" t="s">
        <v>538</v>
      </c>
    </row>
    <row r="38" spans="1:11" ht="26.4" hidden="1" customHeight="1" x14ac:dyDescent="0.3">
      <c r="A38" s="254"/>
      <c r="B38" s="1303" t="s">
        <v>539</v>
      </c>
      <c r="C38" s="1304"/>
      <c r="D38" s="435" t="s">
        <v>164</v>
      </c>
      <c r="E38" s="238">
        <f>[1]Таблица_Характеристика!M77*0</f>
        <v>0</v>
      </c>
      <c r="F38" s="251">
        <v>1</v>
      </c>
      <c r="G38" s="1307">
        <v>1.2</v>
      </c>
      <c r="H38" s="1307"/>
      <c r="I38" s="249">
        <f>E38*F38*G38</f>
        <v>0</v>
      </c>
      <c r="J38" s="228">
        <v>82</v>
      </c>
      <c r="K38" s="228" t="s">
        <v>540</v>
      </c>
    </row>
    <row r="39" spans="1:11" hidden="1" x14ac:dyDescent="0.3">
      <c r="A39" s="254" t="s">
        <v>541</v>
      </c>
      <c r="B39" s="1299" t="s">
        <v>542</v>
      </c>
      <c r="C39" s="1300"/>
      <c r="D39" s="1301"/>
      <c r="E39" s="1301"/>
      <c r="F39" s="1301"/>
      <c r="G39" s="1301"/>
      <c r="H39" s="1302"/>
      <c r="I39" s="249"/>
      <c r="J39" s="228"/>
      <c r="K39" s="228"/>
    </row>
    <row r="40" spans="1:11" ht="31.8" hidden="1" customHeight="1" x14ac:dyDescent="0.3">
      <c r="A40" s="254"/>
      <c r="B40" s="1303" t="s">
        <v>543</v>
      </c>
      <c r="C40" s="1304"/>
      <c r="D40" s="435" t="s">
        <v>511</v>
      </c>
      <c r="E40" s="238"/>
      <c r="F40" s="238">
        <v>0.25</v>
      </c>
      <c r="G40" s="1307">
        <v>6.2</v>
      </c>
      <c r="H40" s="1307"/>
      <c r="I40" s="249">
        <f>E40/100*F40*G40</f>
        <v>0</v>
      </c>
      <c r="J40" s="228">
        <v>83</v>
      </c>
      <c r="K40" s="228" t="s">
        <v>544</v>
      </c>
    </row>
    <row r="41" spans="1:11" ht="22.2" hidden="1" customHeight="1" x14ac:dyDescent="0.3">
      <c r="A41" s="254"/>
      <c r="B41" s="1303" t="s">
        <v>545</v>
      </c>
      <c r="C41" s="1304"/>
      <c r="D41" s="435" t="s">
        <v>511</v>
      </c>
      <c r="E41" s="438"/>
      <c r="F41" s="238">
        <v>0.25</v>
      </c>
      <c r="G41" s="1307">
        <v>8.4</v>
      </c>
      <c r="H41" s="1307"/>
      <c r="I41" s="249">
        <f>E41/100*F41*G41</f>
        <v>0</v>
      </c>
      <c r="J41" s="228">
        <v>83</v>
      </c>
      <c r="K41" s="228" t="s">
        <v>546</v>
      </c>
    </row>
    <row r="42" spans="1:11" ht="24.6" hidden="1" customHeight="1" x14ac:dyDescent="0.3">
      <c r="A42" s="254"/>
      <c r="B42" s="1303" t="s">
        <v>547</v>
      </c>
      <c r="C42" s="1304"/>
      <c r="D42" s="435" t="s">
        <v>164</v>
      </c>
      <c r="E42" s="238"/>
      <c r="F42" s="238">
        <v>0.25</v>
      </c>
      <c r="G42" s="1307">
        <v>2.1</v>
      </c>
      <c r="H42" s="1307"/>
      <c r="I42" s="249">
        <f t="shared" ref="I42:I49" si="1">E42/100*F42*G42</f>
        <v>0</v>
      </c>
      <c r="J42" s="228">
        <v>83</v>
      </c>
      <c r="K42" s="228" t="s">
        <v>548</v>
      </c>
    </row>
    <row r="43" spans="1:11" ht="22.8" hidden="1" customHeight="1" x14ac:dyDescent="0.3">
      <c r="A43" s="254"/>
      <c r="B43" s="1303" t="s">
        <v>549</v>
      </c>
      <c r="C43" s="1304"/>
      <c r="D43" s="435" t="s">
        <v>550</v>
      </c>
      <c r="E43" s="238"/>
      <c r="F43" s="251"/>
      <c r="G43" s="1307"/>
      <c r="H43" s="1307"/>
      <c r="I43" s="249">
        <f t="shared" si="1"/>
        <v>0</v>
      </c>
      <c r="J43" s="228"/>
      <c r="K43" s="228"/>
    </row>
    <row r="44" spans="1:11" ht="15" customHeight="1" x14ac:dyDescent="0.3">
      <c r="A44" s="254"/>
      <c r="B44" s="1343"/>
      <c r="C44" s="1344"/>
      <c r="D44" s="1344"/>
      <c r="E44" s="1344"/>
      <c r="F44" s="1344"/>
      <c r="G44" s="1344"/>
      <c r="H44" s="1345"/>
      <c r="I44" s="249"/>
      <c r="J44" s="228"/>
      <c r="K44" s="228"/>
    </row>
    <row r="45" spans="1:11" ht="20.399999999999999" hidden="1" customHeight="1" x14ac:dyDescent="0.3">
      <c r="A45" s="254"/>
      <c r="B45" s="1337" t="s">
        <v>552</v>
      </c>
      <c r="C45" s="1338"/>
      <c r="D45" s="435" t="s">
        <v>511</v>
      </c>
      <c r="E45" s="238"/>
      <c r="F45" s="238">
        <v>0.25</v>
      </c>
      <c r="G45" s="1314">
        <v>21.3</v>
      </c>
      <c r="H45" s="1315"/>
      <c r="I45" s="249">
        <f t="shared" si="1"/>
        <v>0</v>
      </c>
      <c r="J45" s="228">
        <v>86</v>
      </c>
      <c r="K45" s="228" t="s">
        <v>553</v>
      </c>
    </row>
    <row r="46" spans="1:11" ht="25.8" hidden="1" customHeight="1" x14ac:dyDescent="0.3">
      <c r="A46" s="254"/>
      <c r="B46" s="1337" t="s">
        <v>554</v>
      </c>
      <c r="C46" s="1338"/>
      <c r="D46" s="435" t="s">
        <v>511</v>
      </c>
      <c r="E46" s="238"/>
      <c r="F46" s="238">
        <v>0.25</v>
      </c>
      <c r="G46" s="1314">
        <v>23.2</v>
      </c>
      <c r="H46" s="1315"/>
      <c r="I46" s="249">
        <f t="shared" si="1"/>
        <v>0</v>
      </c>
      <c r="J46" s="228">
        <v>86</v>
      </c>
      <c r="K46" s="228" t="s">
        <v>555</v>
      </c>
    </row>
    <row r="47" spans="1:11" ht="21.6" hidden="1" customHeight="1" x14ac:dyDescent="0.3">
      <c r="A47" s="254"/>
      <c r="B47" s="1337" t="s">
        <v>556</v>
      </c>
      <c r="C47" s="1338"/>
      <c r="D47" s="435" t="s">
        <v>511</v>
      </c>
      <c r="E47" s="238"/>
      <c r="F47" s="238">
        <v>0.25</v>
      </c>
      <c r="G47" s="1339">
        <v>28</v>
      </c>
      <c r="H47" s="1340"/>
      <c r="I47" s="249">
        <f t="shared" si="1"/>
        <v>0</v>
      </c>
      <c r="J47" s="228">
        <v>86</v>
      </c>
      <c r="K47" s="228" t="s">
        <v>557</v>
      </c>
    </row>
    <row r="48" spans="1:11" ht="21" customHeight="1" x14ac:dyDescent="0.3">
      <c r="A48" s="254" t="s">
        <v>828</v>
      </c>
      <c r="B48" s="1312" t="s">
        <v>558</v>
      </c>
      <c r="C48" s="1313"/>
      <c r="D48" s="435" t="s">
        <v>537</v>
      </c>
      <c r="E48" s="251">
        <f>розрахунок!D16</f>
        <v>2</v>
      </c>
      <c r="F48" s="251">
        <v>1</v>
      </c>
      <c r="G48" s="1341">
        <v>0.72</v>
      </c>
      <c r="H48" s="1342"/>
      <c r="I48" s="249">
        <f>E48/1*F48*G48</f>
        <v>1.44</v>
      </c>
      <c r="J48" s="228">
        <v>87</v>
      </c>
      <c r="K48" s="228" t="s">
        <v>559</v>
      </c>
    </row>
    <row r="49" spans="1:11" hidden="1" x14ac:dyDescent="0.3">
      <c r="A49" s="439"/>
      <c r="B49" s="1333"/>
      <c r="C49" s="1334"/>
      <c r="D49" s="440"/>
      <c r="E49" s="441"/>
      <c r="F49" s="441"/>
      <c r="G49" s="1335"/>
      <c r="H49" s="1336"/>
      <c r="I49" s="442">
        <f t="shared" si="1"/>
        <v>0</v>
      </c>
      <c r="J49" s="443"/>
      <c r="K49" s="443"/>
    </row>
    <row r="50" spans="1:11" ht="27" hidden="1" customHeight="1" x14ac:dyDescent="0.3">
      <c r="A50" s="439" t="s">
        <v>532</v>
      </c>
      <c r="B50" s="1327" t="s">
        <v>560</v>
      </c>
      <c r="C50" s="1328"/>
      <c r="D50" s="440" t="s">
        <v>561</v>
      </c>
      <c r="E50" s="443"/>
      <c r="F50" s="444"/>
      <c r="G50" s="1329">
        <v>0.45</v>
      </c>
      <c r="H50" s="1330"/>
      <c r="I50" s="442">
        <f>E50*F50*G50</f>
        <v>0</v>
      </c>
      <c r="J50" s="443">
        <v>99</v>
      </c>
      <c r="K50" s="443" t="s">
        <v>562</v>
      </c>
    </row>
    <row r="51" spans="1:11" ht="28.2" hidden="1" customHeight="1" x14ac:dyDescent="0.3">
      <c r="A51" s="439" t="s">
        <v>535</v>
      </c>
      <c r="B51" s="1327" t="s">
        <v>563</v>
      </c>
      <c r="C51" s="1328"/>
      <c r="D51" s="440" t="s">
        <v>564</v>
      </c>
      <c r="E51" s="441"/>
      <c r="F51" s="444"/>
      <c r="G51" s="1329">
        <v>3.3</v>
      </c>
      <c r="H51" s="1330"/>
      <c r="I51" s="442">
        <f>E51/10*F51*G51</f>
        <v>0</v>
      </c>
      <c r="J51" s="443">
        <v>106</v>
      </c>
      <c r="K51" s="443" t="s">
        <v>565</v>
      </c>
    </row>
    <row r="52" spans="1:11" ht="34.200000000000003" hidden="1" customHeight="1" x14ac:dyDescent="0.3">
      <c r="A52" s="439"/>
      <c r="B52" s="1327" t="s">
        <v>566</v>
      </c>
      <c r="C52" s="1328"/>
      <c r="D52" s="440" t="s">
        <v>550</v>
      </c>
      <c r="E52" s="443"/>
      <c r="F52" s="444"/>
      <c r="G52" s="1329"/>
      <c r="H52" s="1330"/>
      <c r="I52" s="442">
        <f t="shared" ref="I52:I64" si="2">E52/100*F52*G52</f>
        <v>0</v>
      </c>
      <c r="J52" s="443"/>
      <c r="K52" s="443"/>
    </row>
    <row r="53" spans="1:11" ht="22.8" hidden="1" customHeight="1" x14ac:dyDescent="0.3">
      <c r="A53" s="439"/>
      <c r="B53" s="1327" t="s">
        <v>567</v>
      </c>
      <c r="C53" s="1328"/>
      <c r="D53" s="440" t="s">
        <v>550</v>
      </c>
      <c r="E53" s="443"/>
      <c r="F53" s="444"/>
      <c r="G53" s="1329"/>
      <c r="H53" s="1330"/>
      <c r="I53" s="442">
        <f t="shared" si="2"/>
        <v>0</v>
      </c>
      <c r="J53" s="443"/>
      <c r="K53" s="443"/>
    </row>
    <row r="54" spans="1:11" hidden="1" x14ac:dyDescent="0.3">
      <c r="A54" s="439"/>
      <c r="B54" s="1321" t="s">
        <v>568</v>
      </c>
      <c r="C54" s="1331"/>
      <c r="D54" s="1331"/>
      <c r="E54" s="1331"/>
      <c r="F54" s="1331"/>
      <c r="G54" s="1331"/>
      <c r="H54" s="1332"/>
      <c r="I54" s="442">
        <f t="shared" si="2"/>
        <v>0</v>
      </c>
      <c r="J54" s="443">
        <v>84</v>
      </c>
      <c r="K54" s="443"/>
    </row>
    <row r="55" spans="1:11" ht="25.2" hidden="1" customHeight="1" x14ac:dyDescent="0.3">
      <c r="A55" s="439"/>
      <c r="B55" s="1327" t="s">
        <v>569</v>
      </c>
      <c r="C55" s="1328"/>
      <c r="D55" s="440" t="s">
        <v>164</v>
      </c>
      <c r="E55" s="443"/>
      <c r="F55" s="444"/>
      <c r="G55" s="1329">
        <v>0.5</v>
      </c>
      <c r="H55" s="1330"/>
      <c r="I55" s="442">
        <f>E55*F55*G55</f>
        <v>0</v>
      </c>
      <c r="J55" s="443">
        <v>84</v>
      </c>
      <c r="K55" s="443" t="s">
        <v>570</v>
      </c>
    </row>
    <row r="56" spans="1:11" ht="13.2" hidden="1" customHeight="1" x14ac:dyDescent="0.3">
      <c r="A56" s="439"/>
      <c r="B56" s="1327" t="s">
        <v>571</v>
      </c>
      <c r="C56" s="1328"/>
      <c r="D56" s="440" t="s">
        <v>164</v>
      </c>
      <c r="E56" s="443"/>
      <c r="F56" s="444"/>
      <c r="G56" s="1329">
        <v>0.16</v>
      </c>
      <c r="H56" s="1330"/>
      <c r="I56" s="442">
        <f>E56*F56*G56</f>
        <v>0</v>
      </c>
      <c r="J56" s="443">
        <v>84</v>
      </c>
      <c r="K56" s="443" t="s">
        <v>572</v>
      </c>
    </row>
    <row r="57" spans="1:11" ht="23.4" hidden="1" customHeight="1" x14ac:dyDescent="0.3">
      <c r="A57" s="439" t="s">
        <v>551</v>
      </c>
      <c r="B57" s="1327" t="s">
        <v>573</v>
      </c>
      <c r="C57" s="1328"/>
      <c r="D57" s="440" t="s">
        <v>511</v>
      </c>
      <c r="E57" s="441"/>
      <c r="F57" s="444"/>
      <c r="G57" s="1329">
        <v>0.48</v>
      </c>
      <c r="H57" s="1330"/>
      <c r="I57" s="442">
        <f t="shared" si="2"/>
        <v>0</v>
      </c>
      <c r="J57" s="443">
        <v>81</v>
      </c>
      <c r="K57" s="443" t="s">
        <v>528</v>
      </c>
    </row>
    <row r="58" spans="1:11" ht="21" hidden="1" customHeight="1" x14ac:dyDescent="0.3">
      <c r="A58" s="439" t="s">
        <v>574</v>
      </c>
      <c r="B58" s="1327" t="s">
        <v>575</v>
      </c>
      <c r="C58" s="1328"/>
      <c r="D58" s="440" t="s">
        <v>511</v>
      </c>
      <c r="E58" s="441"/>
      <c r="F58" s="444"/>
      <c r="G58" s="1329">
        <v>1.73</v>
      </c>
      <c r="H58" s="1330"/>
      <c r="I58" s="442">
        <f>E58/100*F58*G58</f>
        <v>0</v>
      </c>
      <c r="J58" s="443">
        <v>81</v>
      </c>
      <c r="K58" s="443" t="s">
        <v>531</v>
      </c>
    </row>
    <row r="59" spans="1:11" ht="30.6" hidden="1" customHeight="1" x14ac:dyDescent="0.3">
      <c r="A59" s="439" t="s">
        <v>576</v>
      </c>
      <c r="B59" s="1327" t="s">
        <v>577</v>
      </c>
      <c r="C59" s="1328"/>
      <c r="D59" s="440" t="s">
        <v>578</v>
      </c>
      <c r="E59" s="444"/>
      <c r="F59" s="444"/>
      <c r="G59" s="1329">
        <v>0.3</v>
      </c>
      <c r="H59" s="1330"/>
      <c r="I59" s="442">
        <f>E59*F59*G59</f>
        <v>0</v>
      </c>
      <c r="J59" s="443">
        <v>85</v>
      </c>
      <c r="K59" s="443" t="s">
        <v>579</v>
      </c>
    </row>
    <row r="60" spans="1:11" ht="24" hidden="1" customHeight="1" x14ac:dyDescent="0.3">
      <c r="A60" s="439"/>
      <c r="B60" s="1327" t="s">
        <v>580</v>
      </c>
      <c r="C60" s="1328"/>
      <c r="D60" s="440" t="s">
        <v>550</v>
      </c>
      <c r="E60" s="443"/>
      <c r="F60" s="441"/>
      <c r="G60" s="1329"/>
      <c r="H60" s="1330"/>
      <c r="I60" s="442">
        <f t="shared" si="2"/>
        <v>0</v>
      </c>
      <c r="J60" s="443"/>
      <c r="K60" s="443"/>
    </row>
    <row r="61" spans="1:11" ht="25.2" customHeight="1" x14ac:dyDescent="0.3">
      <c r="A61" s="254" t="s">
        <v>551</v>
      </c>
      <c r="B61" s="1303" t="s">
        <v>581</v>
      </c>
      <c r="C61" s="1304"/>
      <c r="D61" s="435" t="s">
        <v>582</v>
      </c>
      <c r="E61" s="251">
        <f>розрахунок!D17</f>
        <v>2</v>
      </c>
      <c r="F61" s="251">
        <v>2</v>
      </c>
      <c r="G61" s="1307">
        <v>0.48</v>
      </c>
      <c r="H61" s="1307"/>
      <c r="I61" s="249">
        <f>E61*F61*G61</f>
        <v>1.92</v>
      </c>
      <c r="J61" s="228">
        <v>93</v>
      </c>
      <c r="K61" s="228" t="s">
        <v>583</v>
      </c>
    </row>
    <row r="62" spans="1:11" ht="40.200000000000003" hidden="1" customHeight="1" x14ac:dyDescent="0.3">
      <c r="A62" s="439"/>
      <c r="B62" s="1318" t="s">
        <v>584</v>
      </c>
      <c r="C62" s="1319"/>
      <c r="D62" s="440" t="s">
        <v>550</v>
      </c>
      <c r="E62" s="443"/>
      <c r="F62" s="444">
        <v>1</v>
      </c>
      <c r="G62" s="1320"/>
      <c r="H62" s="1320"/>
      <c r="I62" s="442">
        <f t="shared" si="2"/>
        <v>0</v>
      </c>
      <c r="J62" s="443"/>
      <c r="K62" s="443"/>
    </row>
    <row r="63" spans="1:11" ht="17.399999999999999" hidden="1" customHeight="1" x14ac:dyDescent="0.3">
      <c r="A63" s="439"/>
      <c r="B63" s="1318" t="s">
        <v>585</v>
      </c>
      <c r="C63" s="1319"/>
      <c r="D63" s="440" t="s">
        <v>550</v>
      </c>
      <c r="E63" s="443"/>
      <c r="F63" s="441">
        <v>0.25</v>
      </c>
      <c r="G63" s="1320"/>
      <c r="H63" s="1320"/>
      <c r="I63" s="442">
        <f t="shared" si="2"/>
        <v>0</v>
      </c>
      <c r="J63" s="443"/>
      <c r="K63" s="443"/>
    </row>
    <row r="64" spans="1:11" ht="27.6" hidden="1" customHeight="1" x14ac:dyDescent="0.3">
      <c r="A64" s="439"/>
      <c r="B64" s="1318" t="s">
        <v>586</v>
      </c>
      <c r="C64" s="1319"/>
      <c r="D64" s="440" t="s">
        <v>550</v>
      </c>
      <c r="E64" s="443"/>
      <c r="F64" s="444"/>
      <c r="G64" s="1320"/>
      <c r="H64" s="1320"/>
      <c r="I64" s="442">
        <f t="shared" si="2"/>
        <v>0</v>
      </c>
      <c r="J64" s="443"/>
      <c r="K64" s="443"/>
    </row>
    <row r="65" spans="1:11" hidden="1" x14ac:dyDescent="0.3">
      <c r="A65" s="445" t="s">
        <v>587</v>
      </c>
      <c r="B65" s="1321" t="s">
        <v>588</v>
      </c>
      <c r="C65" s="1322"/>
      <c r="D65" s="1322"/>
      <c r="E65" s="1322"/>
      <c r="F65" s="1322"/>
      <c r="G65" s="1322"/>
      <c r="H65" s="1323"/>
      <c r="I65" s="446"/>
      <c r="J65" s="447"/>
      <c r="K65" s="447"/>
    </row>
    <row r="66" spans="1:11" hidden="1" x14ac:dyDescent="0.3">
      <c r="A66" s="439" t="s">
        <v>589</v>
      </c>
      <c r="B66" s="1321" t="s">
        <v>590</v>
      </c>
      <c r="C66" s="1324"/>
      <c r="D66" s="1325"/>
      <c r="E66" s="1325"/>
      <c r="F66" s="1325"/>
      <c r="G66" s="1325"/>
      <c r="H66" s="1326"/>
      <c r="I66" s="442"/>
      <c r="J66" s="443"/>
      <c r="K66" s="443"/>
    </row>
    <row r="67" spans="1:11" ht="25.8" hidden="1" customHeight="1" x14ac:dyDescent="0.3">
      <c r="A67" s="439"/>
      <c r="B67" s="1318" t="s">
        <v>533</v>
      </c>
      <c r="C67" s="1319"/>
      <c r="D67" s="440" t="s">
        <v>511</v>
      </c>
      <c r="E67" s="441">
        <f>[1]Таблица_Характеристика!M87</f>
        <v>0</v>
      </c>
      <c r="F67" s="444"/>
      <c r="G67" s="1320">
        <v>2.2000000000000002</v>
      </c>
      <c r="H67" s="1320"/>
      <c r="I67" s="442">
        <f>E67/100*F67*G67</f>
        <v>0</v>
      </c>
      <c r="J67" s="443">
        <v>82</v>
      </c>
      <c r="K67" s="443" t="s">
        <v>534</v>
      </c>
    </row>
    <row r="68" spans="1:11" ht="22.2" hidden="1" customHeight="1" x14ac:dyDescent="0.3">
      <c r="A68" s="439"/>
      <c r="B68" s="1318" t="s">
        <v>536</v>
      </c>
      <c r="C68" s="1319"/>
      <c r="D68" s="440" t="s">
        <v>164</v>
      </c>
      <c r="E68" s="441"/>
      <c r="F68" s="444">
        <v>2</v>
      </c>
      <c r="G68" s="1320">
        <v>1.5</v>
      </c>
      <c r="H68" s="1320"/>
      <c r="I68" s="442"/>
      <c r="J68" s="443"/>
      <c r="K68" s="443"/>
    </row>
    <row r="69" spans="1:11" hidden="1" x14ac:dyDescent="0.3">
      <c r="A69" s="439"/>
      <c r="B69" s="1318" t="s">
        <v>591</v>
      </c>
      <c r="C69" s="1319"/>
      <c r="D69" s="440" t="s">
        <v>550</v>
      </c>
      <c r="E69" s="443"/>
      <c r="F69" s="444">
        <v>2</v>
      </c>
      <c r="G69" s="1320"/>
      <c r="H69" s="1320"/>
      <c r="I69" s="442">
        <f>E69/100*F69*G69</f>
        <v>0</v>
      </c>
      <c r="J69" s="443"/>
      <c r="K69" s="443"/>
    </row>
    <row r="70" spans="1:11" x14ac:dyDescent="0.3">
      <c r="A70" s="254" t="s">
        <v>574</v>
      </c>
      <c r="B70" s="1299" t="s">
        <v>592</v>
      </c>
      <c r="C70" s="1300"/>
      <c r="D70" s="1301"/>
      <c r="E70" s="1301"/>
      <c r="F70" s="1301"/>
      <c r="G70" s="1301"/>
      <c r="H70" s="1302"/>
      <c r="I70" s="249"/>
      <c r="J70" s="228"/>
      <c r="K70" s="228"/>
    </row>
    <row r="71" spans="1:11" ht="24.6" customHeight="1" x14ac:dyDescent="0.3">
      <c r="A71" s="254"/>
      <c r="B71" s="1303" t="s">
        <v>593</v>
      </c>
      <c r="C71" s="1304"/>
      <c r="D71" s="435" t="s">
        <v>561</v>
      </c>
      <c r="E71" s="441">
        <v>4</v>
      </c>
      <c r="F71" s="444">
        <v>1</v>
      </c>
      <c r="G71" s="1307">
        <v>1.4</v>
      </c>
      <c r="H71" s="1307"/>
      <c r="I71" s="249">
        <f>F71*G71*E71</f>
        <v>5.6</v>
      </c>
      <c r="J71" s="228">
        <v>91</v>
      </c>
      <c r="K71" s="228" t="s">
        <v>594</v>
      </c>
    </row>
    <row r="72" spans="1:11" ht="19.2" hidden="1" customHeight="1" x14ac:dyDescent="0.3">
      <c r="A72" s="254"/>
      <c r="B72" s="1303" t="s">
        <v>595</v>
      </c>
      <c r="C72" s="1304"/>
      <c r="D72" s="435" t="s">
        <v>561</v>
      </c>
      <c r="E72" s="441"/>
      <c r="F72" s="444">
        <v>2</v>
      </c>
      <c r="G72" s="1307">
        <v>1.8</v>
      </c>
      <c r="H72" s="1307"/>
      <c r="I72" s="249">
        <f>F72*G72*E72</f>
        <v>0</v>
      </c>
      <c r="J72" s="228">
        <v>91</v>
      </c>
      <c r="K72" s="228" t="s">
        <v>596</v>
      </c>
    </row>
    <row r="73" spans="1:11" ht="19.8" customHeight="1" x14ac:dyDescent="0.3">
      <c r="A73" s="254"/>
      <c r="B73" s="1316" t="s">
        <v>597</v>
      </c>
      <c r="C73" s="1317"/>
      <c r="D73" s="435" t="s">
        <v>598</v>
      </c>
      <c r="E73" s="441">
        <v>1</v>
      </c>
      <c r="F73" s="444">
        <v>4</v>
      </c>
      <c r="G73" s="1307">
        <v>0.2</v>
      </c>
      <c r="H73" s="1307"/>
      <c r="I73" s="249">
        <f>F73*G73*E73</f>
        <v>0.8</v>
      </c>
      <c r="J73" s="228">
        <v>91</v>
      </c>
      <c r="K73" s="228" t="s">
        <v>599</v>
      </c>
    </row>
    <row r="74" spans="1:11" ht="24" hidden="1" customHeight="1" x14ac:dyDescent="0.3">
      <c r="A74" s="439"/>
      <c r="B74" s="1318" t="s">
        <v>600</v>
      </c>
      <c r="C74" s="1319"/>
      <c r="D74" s="440" t="s">
        <v>550</v>
      </c>
      <c r="E74" s="443"/>
      <c r="F74" s="441">
        <v>0.25</v>
      </c>
      <c r="G74" s="1320"/>
      <c r="H74" s="1320"/>
      <c r="I74" s="442">
        <f>E74/100*F74*G74</f>
        <v>0</v>
      </c>
      <c r="J74" s="443"/>
      <c r="K74" s="443"/>
    </row>
    <row r="75" spans="1:11" ht="25.8" hidden="1" customHeight="1" x14ac:dyDescent="0.3">
      <c r="A75" s="439"/>
      <c r="B75" s="1318" t="s">
        <v>601</v>
      </c>
      <c r="C75" s="1319"/>
      <c r="D75" s="440" t="s">
        <v>561</v>
      </c>
      <c r="E75" s="443"/>
      <c r="F75" s="444">
        <v>2</v>
      </c>
      <c r="G75" s="1320"/>
      <c r="H75" s="1320"/>
      <c r="I75" s="442">
        <f>E75/100*F75*G75</f>
        <v>0</v>
      </c>
      <c r="J75" s="443">
        <v>99</v>
      </c>
      <c r="K75" s="443" t="s">
        <v>602</v>
      </c>
    </row>
    <row r="76" spans="1:11" ht="21.6" customHeight="1" x14ac:dyDescent="0.3">
      <c r="A76" s="254" t="s">
        <v>576</v>
      </c>
      <c r="B76" s="1312" t="s">
        <v>604</v>
      </c>
      <c r="C76" s="1313"/>
      <c r="D76" s="435" t="s">
        <v>561</v>
      </c>
      <c r="E76" s="251">
        <f>розрахунок!D18</f>
        <v>5</v>
      </c>
      <c r="F76" s="251">
        <v>1</v>
      </c>
      <c r="G76" s="1314">
        <v>0.35</v>
      </c>
      <c r="H76" s="1315"/>
      <c r="I76" s="249">
        <f t="shared" ref="I76:I80" si="3">E76*F76*G76</f>
        <v>1.75</v>
      </c>
      <c r="J76" s="228">
        <v>94</v>
      </c>
      <c r="K76" s="228" t="s">
        <v>605</v>
      </c>
    </row>
    <row r="77" spans="1:11" ht="25.8" customHeight="1" x14ac:dyDescent="0.3">
      <c r="A77" s="254" t="s">
        <v>829</v>
      </c>
      <c r="B77" s="1312" t="s">
        <v>607</v>
      </c>
      <c r="C77" s="1313"/>
      <c r="D77" s="435" t="s">
        <v>561</v>
      </c>
      <c r="E77" s="251">
        <f>розрахунок!D19</f>
        <v>6</v>
      </c>
      <c r="F77" s="251">
        <v>1</v>
      </c>
      <c r="G77" s="1314">
        <v>0.46</v>
      </c>
      <c r="H77" s="1315"/>
      <c r="I77" s="249">
        <f t="shared" si="3"/>
        <v>2.7600000000000002</v>
      </c>
      <c r="J77" s="228">
        <v>96</v>
      </c>
      <c r="K77" s="228" t="s">
        <v>608</v>
      </c>
    </row>
    <row r="78" spans="1:11" ht="22.8" customHeight="1" x14ac:dyDescent="0.3">
      <c r="A78" s="254"/>
      <c r="B78" s="1312" t="s">
        <v>609</v>
      </c>
      <c r="C78" s="1313"/>
      <c r="D78" s="435" t="s">
        <v>561</v>
      </c>
      <c r="E78" s="251">
        <f>розрахунок!D20</f>
        <v>6</v>
      </c>
      <c r="F78" s="251">
        <v>1</v>
      </c>
      <c r="G78" s="1314">
        <v>0.57999999999999996</v>
      </c>
      <c r="H78" s="1315"/>
      <c r="I78" s="249">
        <f t="shared" si="3"/>
        <v>3.4799999999999995</v>
      </c>
      <c r="J78" s="228">
        <v>96</v>
      </c>
      <c r="K78" s="228" t="s">
        <v>610</v>
      </c>
    </row>
    <row r="79" spans="1:11" ht="27" customHeight="1" x14ac:dyDescent="0.3">
      <c r="A79" s="254" t="s">
        <v>603</v>
      </c>
      <c r="B79" s="1303" t="s">
        <v>601</v>
      </c>
      <c r="C79" s="1304"/>
      <c r="D79" s="435" t="s">
        <v>561</v>
      </c>
      <c r="E79" s="251">
        <f>розрахунок!D21</f>
        <v>4</v>
      </c>
      <c r="F79" s="251">
        <v>1</v>
      </c>
      <c r="G79" s="1307">
        <v>0.35</v>
      </c>
      <c r="H79" s="1307"/>
      <c r="I79" s="249">
        <f t="shared" si="3"/>
        <v>1.4</v>
      </c>
      <c r="J79" s="228">
        <v>99</v>
      </c>
      <c r="K79" s="228" t="s">
        <v>602</v>
      </c>
    </row>
    <row r="80" spans="1:11" x14ac:dyDescent="0.3">
      <c r="A80" s="254" t="s">
        <v>606</v>
      </c>
      <c r="B80" s="1308" t="s">
        <v>611</v>
      </c>
      <c r="C80" s="1308"/>
      <c r="D80" s="435" t="s">
        <v>561</v>
      </c>
      <c r="E80" s="251">
        <f>розрахунок!D22</f>
        <v>3</v>
      </c>
      <c r="F80" s="251">
        <v>1</v>
      </c>
      <c r="G80" s="1307">
        <v>0.6</v>
      </c>
      <c r="H80" s="1307"/>
      <c r="I80" s="249">
        <f t="shared" si="3"/>
        <v>1.7999999999999998</v>
      </c>
      <c r="J80" s="228">
        <v>101</v>
      </c>
      <c r="K80" s="228" t="s">
        <v>612</v>
      </c>
    </row>
    <row r="81" spans="1:11" hidden="1" x14ac:dyDescent="0.3">
      <c r="A81" s="254" t="s">
        <v>240</v>
      </c>
      <c r="B81" s="1299" t="s">
        <v>613</v>
      </c>
      <c r="C81" s="1300"/>
      <c r="D81" s="1301"/>
      <c r="E81" s="1301"/>
      <c r="F81" s="1301"/>
      <c r="G81" s="1301"/>
      <c r="H81" s="1302"/>
      <c r="I81" s="249"/>
      <c r="J81" s="228"/>
      <c r="K81" s="228"/>
    </row>
    <row r="82" spans="1:11" ht="25.2" hidden="1" customHeight="1" x14ac:dyDescent="0.3">
      <c r="A82" s="254"/>
      <c r="B82" s="1303" t="s">
        <v>614</v>
      </c>
      <c r="C82" s="1304"/>
      <c r="D82" s="435" t="s">
        <v>561</v>
      </c>
      <c r="E82" s="228"/>
      <c r="F82" s="238">
        <v>0.25</v>
      </c>
      <c r="G82" s="1305">
        <v>4</v>
      </c>
      <c r="H82" s="1306"/>
      <c r="I82" s="249">
        <f>E82*F82*G82</f>
        <v>0</v>
      </c>
      <c r="J82" s="228"/>
      <c r="K82" s="228"/>
    </row>
    <row r="83" spans="1:11" x14ac:dyDescent="0.3">
      <c r="A83" s="448"/>
      <c r="B83" s="1309" t="s">
        <v>615</v>
      </c>
      <c r="C83" s="1310"/>
      <c r="D83" s="449"/>
      <c r="E83" s="450"/>
      <c r="F83" s="196"/>
      <c r="G83" s="1246"/>
      <c r="H83" s="1311"/>
      <c r="I83" s="200">
        <f>SUM(I28:I82)</f>
        <v>134.73050000000001</v>
      </c>
      <c r="J83" s="196"/>
      <c r="K83" s="196"/>
    </row>
    <row r="84" spans="1:11" x14ac:dyDescent="0.3">
      <c r="A84" s="1369" t="s">
        <v>832</v>
      </c>
      <c r="B84" s="1369"/>
      <c r="C84" s="1369"/>
      <c r="D84" s="1369"/>
      <c r="E84" s="1369"/>
      <c r="F84" s="1369"/>
      <c r="G84" s="1369"/>
      <c r="H84" s="1369"/>
      <c r="I84" s="1369"/>
      <c r="J84" s="1369"/>
      <c r="K84" s="1369"/>
    </row>
    <row r="85" spans="1:11" ht="104.4" customHeight="1" x14ac:dyDescent="0.3">
      <c r="A85" s="189" t="s">
        <v>226</v>
      </c>
      <c r="B85" s="1371" t="s">
        <v>227</v>
      </c>
      <c r="C85" s="744"/>
      <c r="D85" s="614" t="s">
        <v>326</v>
      </c>
      <c r="E85" s="189" t="s">
        <v>505</v>
      </c>
      <c r="F85" s="190" t="s">
        <v>506</v>
      </c>
      <c r="G85" s="190" t="s">
        <v>849</v>
      </c>
      <c r="H85" s="192" t="s">
        <v>508</v>
      </c>
      <c r="I85" s="192" t="s">
        <v>848</v>
      </c>
      <c r="J85" s="192" t="s">
        <v>233</v>
      </c>
      <c r="K85" s="235"/>
    </row>
    <row r="86" spans="1:11" ht="14.4" customHeight="1" x14ac:dyDescent="0.3">
      <c r="A86" s="226">
        <v>1</v>
      </c>
      <c r="B86" s="1370">
        <v>2</v>
      </c>
      <c r="C86" s="744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" customHeight="1" x14ac:dyDescent="0.3">
      <c r="A87" s="226">
        <v>1</v>
      </c>
      <c r="B87" s="1372" t="s">
        <v>833</v>
      </c>
      <c r="C87" s="744"/>
      <c r="D87" s="744"/>
      <c r="E87" s="744"/>
      <c r="F87" s="744"/>
      <c r="G87" s="744"/>
      <c r="H87" s="434"/>
      <c r="I87" s="434"/>
      <c r="J87" s="434"/>
      <c r="K87" s="235"/>
    </row>
    <row r="88" spans="1:11" ht="14.4" customHeight="1" x14ac:dyDescent="0.3">
      <c r="A88" s="254" t="s">
        <v>224</v>
      </c>
      <c r="B88" s="1303" t="s">
        <v>834</v>
      </c>
      <c r="C88" s="744"/>
      <c r="D88" s="435" t="s">
        <v>835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40" t="s">
        <v>836</v>
      </c>
      <c r="K88" s="235"/>
    </row>
    <row r="89" spans="1:11" ht="14.4" hidden="1" customHeight="1" x14ac:dyDescent="0.3">
      <c r="A89" s="254" t="s">
        <v>513</v>
      </c>
      <c r="B89" s="1303" t="s">
        <v>837</v>
      </c>
      <c r="C89" s="744"/>
      <c r="D89" s="435" t="s">
        <v>838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839</v>
      </c>
      <c r="K89" s="235"/>
    </row>
    <row r="90" spans="1:11" ht="14.4" customHeight="1" x14ac:dyDescent="0.3">
      <c r="A90" s="254" t="s">
        <v>777</v>
      </c>
      <c r="B90" s="1303" t="s">
        <v>840</v>
      </c>
      <c r="C90" s="744"/>
      <c r="D90" s="435" t="s">
        <v>841</v>
      </c>
      <c r="E90" s="251">
        <f>Характеристика!C12*Характеристика!E12</f>
        <v>15</v>
      </c>
      <c r="F90" s="251">
        <v>4</v>
      </c>
      <c r="G90" s="252">
        <v>0.05</v>
      </c>
      <c r="H90" s="249">
        <f>E90*F90*G90</f>
        <v>3</v>
      </c>
      <c r="I90" s="228">
        <v>120</v>
      </c>
      <c r="J90" s="540" t="s">
        <v>842</v>
      </c>
      <c r="K90" s="235"/>
    </row>
    <row r="91" spans="1:11" x14ac:dyDescent="0.3">
      <c r="A91" s="254" t="s">
        <v>785</v>
      </c>
      <c r="B91" s="1303" t="s">
        <v>843</v>
      </c>
      <c r="C91" s="744"/>
      <c r="D91" s="435" t="s">
        <v>835</v>
      </c>
      <c r="E91" s="251">
        <f>розрахунок!D24</f>
        <v>15</v>
      </c>
      <c r="F91" s="251">
        <v>4</v>
      </c>
      <c r="G91" s="252">
        <v>0.1</v>
      </c>
      <c r="H91" s="249">
        <f>E91*F91*G91</f>
        <v>6</v>
      </c>
      <c r="I91" s="228">
        <v>120</v>
      </c>
      <c r="J91" s="540" t="s">
        <v>844</v>
      </c>
      <c r="K91" s="235"/>
    </row>
    <row r="92" spans="1:11" x14ac:dyDescent="0.3">
      <c r="A92" s="254" t="s">
        <v>793</v>
      </c>
      <c r="B92" s="1303" t="s">
        <v>845</v>
      </c>
      <c r="C92" s="744"/>
      <c r="D92" s="435" t="s">
        <v>846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40" t="s">
        <v>847</v>
      </c>
      <c r="K92" s="235"/>
    </row>
    <row r="93" spans="1:11" x14ac:dyDescent="0.3">
      <c r="A93" s="254" t="s">
        <v>522</v>
      </c>
      <c r="B93" s="1376" t="s">
        <v>850</v>
      </c>
      <c r="C93" s="1377"/>
      <c r="D93" s="1377"/>
      <c r="E93" s="1377"/>
      <c r="F93" s="1377"/>
      <c r="G93" s="1378"/>
      <c r="H93" s="249"/>
      <c r="I93" s="228"/>
      <c r="J93" s="540"/>
      <c r="K93" s="235"/>
    </row>
    <row r="94" spans="1:11" hidden="1" x14ac:dyDescent="0.3">
      <c r="A94" s="254" t="s">
        <v>524</v>
      </c>
      <c r="B94" s="1303" t="s">
        <v>851</v>
      </c>
      <c r="C94" s="744"/>
      <c r="D94" s="435" t="s">
        <v>852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853</v>
      </c>
      <c r="K94" s="235"/>
    </row>
    <row r="95" spans="1:11" hidden="1" x14ac:dyDescent="0.3">
      <c r="A95" s="254" t="s">
        <v>529</v>
      </c>
      <c r="B95" s="1303" t="s">
        <v>854</v>
      </c>
      <c r="C95" s="744"/>
      <c r="D95" s="435" t="s">
        <v>564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855</v>
      </c>
      <c r="K95" s="235"/>
    </row>
    <row r="96" spans="1:11" ht="32.4" customHeight="1" x14ac:dyDescent="0.3">
      <c r="A96" s="254" t="s">
        <v>526</v>
      </c>
      <c r="B96" s="1303" t="s">
        <v>856</v>
      </c>
      <c r="C96" s="744"/>
      <c r="D96" s="435" t="s">
        <v>857</v>
      </c>
      <c r="E96" s="251">
        <f>розрахунок!D26</f>
        <v>5</v>
      </c>
      <c r="F96" s="251">
        <v>1</v>
      </c>
      <c r="G96" s="252">
        <v>0.2</v>
      </c>
      <c r="H96" s="249">
        <f>E96*F96*G96</f>
        <v>1</v>
      </c>
      <c r="I96" s="228">
        <v>121</v>
      </c>
      <c r="J96" s="228" t="s">
        <v>858</v>
      </c>
      <c r="K96" s="235"/>
    </row>
    <row r="97" spans="1:11" ht="41.4" customHeight="1" x14ac:dyDescent="0.3">
      <c r="A97" s="254" t="s">
        <v>859</v>
      </c>
      <c r="B97" s="1303" t="s">
        <v>860</v>
      </c>
      <c r="C97" s="744"/>
      <c r="D97" s="435" t="s">
        <v>857</v>
      </c>
      <c r="E97" s="251">
        <f>розрахунок!D27</f>
        <v>4</v>
      </c>
      <c r="F97" s="251">
        <v>1</v>
      </c>
      <c r="G97" s="252">
        <v>0.25</v>
      </c>
      <c r="H97" s="249">
        <f>E97*F97*G97</f>
        <v>1</v>
      </c>
      <c r="I97" s="228">
        <v>121</v>
      </c>
      <c r="J97" s="228" t="s">
        <v>861</v>
      </c>
      <c r="K97" s="235"/>
    </row>
    <row r="98" spans="1:11" x14ac:dyDescent="0.3">
      <c r="A98" s="254" t="s">
        <v>240</v>
      </c>
      <c r="B98" s="1376" t="s">
        <v>862</v>
      </c>
      <c r="C98" s="1377"/>
      <c r="D98" s="1377"/>
      <c r="E98" s="1377"/>
      <c r="F98" s="1377"/>
      <c r="G98" s="1378"/>
      <c r="H98" s="249"/>
      <c r="I98" s="228"/>
      <c r="J98" s="540"/>
      <c r="K98" s="235"/>
    </row>
    <row r="99" spans="1:11" x14ac:dyDescent="0.3">
      <c r="A99" s="254" t="s">
        <v>863</v>
      </c>
      <c r="B99" s="1303" t="s">
        <v>895</v>
      </c>
      <c r="C99" s="744"/>
      <c r="D99" s="435" t="s">
        <v>846</v>
      </c>
      <c r="E99" s="251">
        <f>розрахунок!D28</f>
        <v>50</v>
      </c>
      <c r="F99" s="616">
        <v>0.5</v>
      </c>
      <c r="G99" s="252">
        <v>0.1</v>
      </c>
      <c r="H99" s="249">
        <f>E99*F99*G99</f>
        <v>2.5</v>
      </c>
      <c r="I99" s="228">
        <v>122</v>
      </c>
      <c r="J99" s="540" t="s">
        <v>864</v>
      </c>
      <c r="K99" s="235"/>
    </row>
    <row r="100" spans="1:11" hidden="1" x14ac:dyDescent="0.3">
      <c r="A100" s="254" t="s">
        <v>865</v>
      </c>
      <c r="B100" s="1303" t="s">
        <v>866</v>
      </c>
      <c r="C100" s="744"/>
      <c r="D100" s="435" t="s">
        <v>846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867</v>
      </c>
      <c r="K100" s="235"/>
    </row>
    <row r="101" spans="1:11" x14ac:dyDescent="0.3">
      <c r="A101" s="254" t="s">
        <v>241</v>
      </c>
      <c r="B101" s="1381" t="s">
        <v>868</v>
      </c>
      <c r="C101" s="1382"/>
      <c r="D101" s="1382"/>
      <c r="E101" s="1382"/>
      <c r="F101" s="1382"/>
      <c r="G101" s="1383"/>
      <c r="H101" s="249"/>
      <c r="I101" s="228"/>
      <c r="J101" s="540"/>
      <c r="K101" s="235"/>
    </row>
    <row r="102" spans="1:11" x14ac:dyDescent="0.3">
      <c r="A102" s="254" t="s">
        <v>695</v>
      </c>
      <c r="B102" s="1303" t="s">
        <v>869</v>
      </c>
      <c r="C102" s="744"/>
      <c r="D102" s="435" t="s">
        <v>870</v>
      </c>
      <c r="E102" s="251">
        <f>розрахунок!D29</f>
        <v>3</v>
      </c>
      <c r="F102" s="251">
        <v>1</v>
      </c>
      <c r="G102" s="252">
        <v>2.6</v>
      </c>
      <c r="H102" s="249">
        <f>E102/10*F102*G102</f>
        <v>0.78</v>
      </c>
      <c r="I102" s="228">
        <v>123</v>
      </c>
      <c r="J102" s="540" t="s">
        <v>871</v>
      </c>
      <c r="K102" s="235"/>
    </row>
    <row r="103" spans="1:11" x14ac:dyDescent="0.3">
      <c r="A103" s="254" t="s">
        <v>697</v>
      </c>
      <c r="B103" s="1303" t="s">
        <v>872</v>
      </c>
      <c r="C103" s="744"/>
      <c r="D103" s="435" t="s">
        <v>870</v>
      </c>
      <c r="E103" s="251">
        <f>розрахунок!D30</f>
        <v>2</v>
      </c>
      <c r="F103" s="251">
        <v>1</v>
      </c>
      <c r="G103" s="252">
        <v>2.9</v>
      </c>
      <c r="H103" s="249">
        <f>E103/10*F103*G103</f>
        <v>0.57999999999999996</v>
      </c>
      <c r="I103" s="228">
        <v>123</v>
      </c>
      <c r="J103" s="540" t="s">
        <v>873</v>
      </c>
      <c r="K103" s="235"/>
    </row>
    <row r="104" spans="1:11" x14ac:dyDescent="0.3">
      <c r="A104" s="195" t="s">
        <v>256</v>
      </c>
      <c r="B104" s="1299" t="s">
        <v>874</v>
      </c>
      <c r="C104" s="1384"/>
      <c r="D104" s="1384"/>
      <c r="E104" s="1384"/>
      <c r="F104" s="1384"/>
      <c r="G104" s="1385"/>
      <c r="H104" s="624"/>
      <c r="I104" s="194"/>
      <c r="J104" s="625"/>
      <c r="K104" s="235"/>
    </row>
    <row r="105" spans="1:11" x14ac:dyDescent="0.3">
      <c r="A105" s="254" t="s">
        <v>875</v>
      </c>
      <c r="B105" s="1337" t="s">
        <v>876</v>
      </c>
      <c r="C105" s="1386"/>
      <c r="D105" s="435" t="s">
        <v>846</v>
      </c>
      <c r="E105" s="251">
        <f>розрахунок!D31</f>
        <v>10</v>
      </c>
      <c r="F105" s="251">
        <v>1</v>
      </c>
      <c r="G105" s="252">
        <v>0.25</v>
      </c>
      <c r="H105" s="249">
        <f>E105*F105*G105</f>
        <v>2.5</v>
      </c>
      <c r="I105" s="228">
        <v>124</v>
      </c>
      <c r="J105" s="540" t="s">
        <v>877</v>
      </c>
      <c r="K105" s="235"/>
    </row>
    <row r="106" spans="1:11" x14ac:dyDescent="0.3">
      <c r="A106" s="254" t="s">
        <v>878</v>
      </c>
      <c r="B106" s="1337" t="s">
        <v>879</v>
      </c>
      <c r="C106" s="1386"/>
      <c r="D106" s="435" t="s">
        <v>846</v>
      </c>
      <c r="E106" s="251">
        <f>розрахунок!D32</f>
        <v>2</v>
      </c>
      <c r="F106" s="251">
        <v>1</v>
      </c>
      <c r="G106" s="252">
        <v>0.55000000000000004</v>
      </c>
      <c r="H106" s="249">
        <f>E106*F106*G106</f>
        <v>1.1000000000000001</v>
      </c>
      <c r="I106" s="228">
        <v>124</v>
      </c>
      <c r="J106" s="540" t="s">
        <v>880</v>
      </c>
      <c r="K106" s="235"/>
    </row>
    <row r="107" spans="1:11" x14ac:dyDescent="0.3">
      <c r="A107" s="254" t="s">
        <v>259</v>
      </c>
      <c r="B107" s="1376" t="s">
        <v>881</v>
      </c>
      <c r="C107" s="1377"/>
      <c r="D107" s="1377"/>
      <c r="E107" s="1377"/>
      <c r="F107" s="1377"/>
      <c r="G107" s="1378"/>
      <c r="H107" s="249"/>
      <c r="I107" s="228"/>
      <c r="J107" s="540"/>
      <c r="K107" s="235"/>
    </row>
    <row r="108" spans="1:11" x14ac:dyDescent="0.3">
      <c r="A108" s="626" t="s">
        <v>882</v>
      </c>
      <c r="B108" s="1303" t="s">
        <v>883</v>
      </c>
      <c r="C108" s="1387"/>
      <c r="D108" s="612" t="s">
        <v>870</v>
      </c>
      <c r="E108" s="627">
        <f>розрахунок!D33</f>
        <v>1</v>
      </c>
      <c r="F108" s="627">
        <v>1</v>
      </c>
      <c r="G108" s="199">
        <v>0.75</v>
      </c>
      <c r="H108" s="249">
        <f>E108/10*F108*G108</f>
        <v>7.5000000000000011E-2</v>
      </c>
      <c r="I108" s="228">
        <v>125</v>
      </c>
      <c r="J108" s="540" t="s">
        <v>884</v>
      </c>
      <c r="K108" s="235"/>
    </row>
    <row r="109" spans="1:11" x14ac:dyDescent="0.3">
      <c r="A109" s="626" t="s">
        <v>885</v>
      </c>
      <c r="B109" s="1303" t="s">
        <v>886</v>
      </c>
      <c r="C109" s="1387"/>
      <c r="D109" s="612" t="s">
        <v>870</v>
      </c>
      <c r="E109" s="627">
        <f>розрахунок!D34</f>
        <v>18</v>
      </c>
      <c r="F109" s="627">
        <v>1</v>
      </c>
      <c r="G109" s="199">
        <v>10.6</v>
      </c>
      <c r="H109" s="249">
        <f>E109/10*F109*G109</f>
        <v>19.079999999999998</v>
      </c>
      <c r="I109" s="228">
        <v>125</v>
      </c>
      <c r="J109" s="540" t="s">
        <v>887</v>
      </c>
      <c r="K109" s="235"/>
    </row>
    <row r="110" spans="1:11" x14ac:dyDescent="0.3">
      <c r="A110" s="626" t="s">
        <v>888</v>
      </c>
      <c r="B110" s="1303" t="s">
        <v>889</v>
      </c>
      <c r="C110" s="1387"/>
      <c r="D110" s="612" t="s">
        <v>870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890</v>
      </c>
      <c r="K110" s="235"/>
    </row>
    <row r="111" spans="1:11" x14ac:dyDescent="0.3">
      <c r="A111" s="626" t="s">
        <v>891</v>
      </c>
      <c r="B111" s="1312" t="s">
        <v>892</v>
      </c>
      <c r="C111" s="1398"/>
      <c r="D111" s="628" t="s">
        <v>893</v>
      </c>
      <c r="E111" s="627">
        <f>розрахунок!D36</f>
        <v>150</v>
      </c>
      <c r="F111" s="627">
        <v>1</v>
      </c>
      <c r="G111" s="548">
        <v>5.6</v>
      </c>
      <c r="H111" s="249">
        <f>E111/10*F111*G111</f>
        <v>84</v>
      </c>
      <c r="I111" s="228">
        <v>131</v>
      </c>
      <c r="J111" s="228" t="s">
        <v>894</v>
      </c>
      <c r="K111" s="235"/>
    </row>
    <row r="112" spans="1:11" x14ac:dyDescent="0.3">
      <c r="A112" s="254"/>
      <c r="B112" s="1399" t="s">
        <v>615</v>
      </c>
      <c r="C112" s="1210"/>
      <c r="D112" s="629"/>
      <c r="E112" s="219"/>
      <c r="F112" s="218"/>
      <c r="G112" s="630"/>
      <c r="H112" s="217">
        <f>SUM(H88:H111)</f>
        <v>122.47499999999999</v>
      </c>
      <c r="I112" s="228"/>
      <c r="J112" s="540"/>
      <c r="K112" s="235"/>
    </row>
    <row r="113" spans="1:11" x14ac:dyDescent="0.3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3">
      <c r="A114" s="1391" t="s">
        <v>616</v>
      </c>
      <c r="B114" s="1392"/>
      <c r="C114" s="1392"/>
      <c r="D114" s="1392"/>
      <c r="E114" s="1392"/>
      <c r="F114" s="1392"/>
      <c r="G114" s="1392"/>
      <c r="H114" s="1392"/>
      <c r="I114" s="1392"/>
      <c r="J114" s="1392"/>
      <c r="K114" s="235"/>
    </row>
    <row r="115" spans="1:11" ht="79.2" x14ac:dyDescent="0.3">
      <c r="A115" s="1393" t="s">
        <v>186</v>
      </c>
      <c r="B115" s="1394"/>
      <c r="C115" s="454" t="s">
        <v>265</v>
      </c>
      <c r="D115" s="1395" t="s">
        <v>266</v>
      </c>
      <c r="E115" s="1231"/>
      <c r="F115" s="455" t="s">
        <v>617</v>
      </c>
      <c r="G115" s="456" t="s">
        <v>896</v>
      </c>
      <c r="H115" s="455" t="s">
        <v>618</v>
      </c>
      <c r="I115" s="455" t="s">
        <v>619</v>
      </c>
      <c r="J115" s="1396" t="s">
        <v>897</v>
      </c>
      <c r="K115" s="1231"/>
    </row>
    <row r="116" spans="1:11" x14ac:dyDescent="0.3">
      <c r="A116" s="1396">
        <v>1</v>
      </c>
      <c r="B116" s="1394"/>
      <c r="C116" s="457">
        <v>2</v>
      </c>
      <c r="D116" s="1397">
        <v>3</v>
      </c>
      <c r="E116" s="840"/>
      <c r="F116" s="458">
        <v>4</v>
      </c>
      <c r="G116" s="459">
        <v>5</v>
      </c>
      <c r="H116" s="458">
        <v>6</v>
      </c>
      <c r="I116" s="458">
        <v>7</v>
      </c>
      <c r="J116" s="1397">
        <v>8</v>
      </c>
      <c r="K116" s="1244"/>
    </row>
    <row r="117" spans="1:11" x14ac:dyDescent="0.3">
      <c r="A117" s="1388" t="s">
        <v>196</v>
      </c>
      <c r="B117" s="1388"/>
      <c r="C117" s="460">
        <f>I83</f>
        <v>134.73050000000001</v>
      </c>
      <c r="D117" s="1389">
        <f>K23</f>
        <v>1993</v>
      </c>
      <c r="E117" s="850"/>
      <c r="F117" s="461">
        <f>C117/D117</f>
        <v>6.7601856497742099E-2</v>
      </c>
      <c r="G117" s="462">
        <f>оклади!K9</f>
        <v>7475</v>
      </c>
      <c r="H117" s="462">
        <f>F117*G117</f>
        <v>505.32387732062222</v>
      </c>
      <c r="I117" s="462">
        <f>H117*0.15</f>
        <v>75.798581598093335</v>
      </c>
      <c r="J117" s="1390">
        <f>H117*1.09+I117</f>
        <v>626.6016078775715</v>
      </c>
      <c r="K117" s="1244"/>
    </row>
    <row r="118" spans="1:11" x14ac:dyDescent="0.3">
      <c r="A118" s="1388" t="s">
        <v>318</v>
      </c>
      <c r="B118" s="1388"/>
      <c r="C118" s="460">
        <f>H112</f>
        <v>122.47499999999999</v>
      </c>
      <c r="D118" s="1400">
        <f>K23</f>
        <v>1993</v>
      </c>
      <c r="E118" s="744"/>
      <c r="F118" s="461">
        <f>C118/D118</f>
        <v>6.1452584044154539E-2</v>
      </c>
      <c r="G118" s="462">
        <f>оклади!K9</f>
        <v>7475</v>
      </c>
      <c r="H118" s="462">
        <f>F118*G118</f>
        <v>459.35806573005516</v>
      </c>
      <c r="I118" s="462">
        <f>H118*0.15</f>
        <v>68.903709859508268</v>
      </c>
      <c r="J118" s="1379">
        <f>H118*1.09+I118</f>
        <v>569.60400150526846</v>
      </c>
      <c r="K118" s="1380"/>
    </row>
    <row r="119" spans="1:11" x14ac:dyDescent="0.3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3">
      <c r="A120" s="1401" t="s">
        <v>620</v>
      </c>
      <c r="B120" s="1401"/>
      <c r="C120" s="1401"/>
      <c r="D120" s="1401"/>
      <c r="E120" s="1401"/>
      <c r="F120" s="1401"/>
      <c r="G120" s="1401"/>
      <c r="H120" s="1401"/>
      <c r="I120" s="1401"/>
      <c r="J120" s="1401"/>
      <c r="K120" s="1401"/>
    </row>
    <row r="121" spans="1:11" ht="132" x14ac:dyDescent="0.3">
      <c r="A121" s="1232" t="s">
        <v>273</v>
      </c>
      <c r="B121" s="1284"/>
      <c r="C121" s="1232" t="s">
        <v>274</v>
      </c>
      <c r="D121" s="1285"/>
      <c r="E121" s="1231"/>
      <c r="F121" s="1232" t="s">
        <v>492</v>
      </c>
      <c r="G121" s="1231"/>
      <c r="H121" s="226" t="s">
        <v>276</v>
      </c>
      <c r="I121" s="1232" t="s">
        <v>621</v>
      </c>
      <c r="J121" s="1286"/>
      <c r="K121" s="226" t="s">
        <v>622</v>
      </c>
    </row>
    <row r="122" spans="1:11" x14ac:dyDescent="0.3">
      <c r="A122" s="1232">
        <v>1</v>
      </c>
      <c r="B122" s="1284"/>
      <c r="C122" s="1232">
        <v>2</v>
      </c>
      <c r="D122" s="1285"/>
      <c r="E122" s="1286"/>
      <c r="F122" s="1232">
        <v>3</v>
      </c>
      <c r="G122" s="1286"/>
      <c r="H122" s="227">
        <v>4</v>
      </c>
      <c r="I122" s="1232">
        <v>5</v>
      </c>
      <c r="J122" s="1286"/>
      <c r="K122" s="226">
        <v>6</v>
      </c>
    </row>
    <row r="123" spans="1:11" ht="38.4" customHeight="1" x14ac:dyDescent="0.3">
      <c r="A123" s="1287" t="s">
        <v>279</v>
      </c>
      <c r="B123" s="1288"/>
      <c r="C123" s="1281">
        <f>прибирання!C49</f>
        <v>1782768</v>
      </c>
      <c r="D123" s="1281"/>
      <c r="E123" s="1257"/>
      <c r="F123" s="1261">
        <f>прибирання!D49</f>
        <v>4193729</v>
      </c>
      <c r="G123" s="1261"/>
      <c r="H123" s="463">
        <f>C123/F123*100</f>
        <v>42.51032911282536</v>
      </c>
      <c r="I123" s="1289">
        <f>J117+J118</f>
        <v>1196.2056093828401</v>
      </c>
      <c r="J123" s="1290"/>
      <c r="K123" s="238">
        <f>H123*I123/100</f>
        <v>508.5109414147235</v>
      </c>
    </row>
    <row r="124" spans="1:11" ht="31.8" customHeight="1" x14ac:dyDescent="0.3">
      <c r="A124" s="1287" t="s">
        <v>280</v>
      </c>
      <c r="B124" s="1288"/>
      <c r="C124" s="1281">
        <f>прибирання!C50</f>
        <v>2914645</v>
      </c>
      <c r="D124" s="1281"/>
      <c r="E124" s="1257"/>
      <c r="F124" s="1261">
        <f>прибирання!D50</f>
        <v>14598843</v>
      </c>
      <c r="G124" s="1261"/>
      <c r="H124" s="463">
        <f>C124/F124*100</f>
        <v>19.964904068082657</v>
      </c>
      <c r="I124" s="1289">
        <f>J10+J11+J13+J14+K123+J15</f>
        <v>4393.791784861789</v>
      </c>
      <c r="J124" s="1290"/>
      <c r="K124" s="238">
        <f>H124*I124/100</f>
        <v>877.21631479895279</v>
      </c>
    </row>
    <row r="125" spans="1:11" ht="24.6" customHeight="1" x14ac:dyDescent="0.3">
      <c r="A125" s="1295" t="s">
        <v>281</v>
      </c>
      <c r="B125" s="1296"/>
      <c r="C125" s="1283"/>
      <c r="D125" s="1283"/>
      <c r="E125" s="1265"/>
      <c r="F125" s="1267"/>
      <c r="G125" s="1267"/>
      <c r="H125" s="464"/>
      <c r="I125" s="1297"/>
      <c r="J125" s="1298"/>
      <c r="K125" s="401">
        <f>SUM(K123:K124)</f>
        <v>1385.7272562136764</v>
      </c>
    </row>
    <row r="126" spans="1:11" x14ac:dyDescent="0.3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3.4" x14ac:dyDescent="0.3">
      <c r="A127" s="1250" t="s">
        <v>623</v>
      </c>
      <c r="B127" s="1250"/>
      <c r="C127" s="1250"/>
      <c r="D127" s="465" t="s">
        <v>624</v>
      </c>
      <c r="E127" s="466" t="s">
        <v>625</v>
      </c>
      <c r="F127" s="467" t="s">
        <v>626</v>
      </c>
      <c r="G127" s="466" t="s">
        <v>627</v>
      </c>
      <c r="H127" s="1402" t="s">
        <v>628</v>
      </c>
      <c r="I127" s="1402"/>
      <c r="J127" s="466" t="s">
        <v>629</v>
      </c>
      <c r="K127" s="146"/>
    </row>
    <row r="128" spans="1:11" x14ac:dyDescent="0.3">
      <c r="A128" s="1403">
        <v>1</v>
      </c>
      <c r="B128" s="1403"/>
      <c r="C128" s="1403"/>
      <c r="D128" s="468">
        <v>2</v>
      </c>
      <c r="E128" s="468">
        <v>3</v>
      </c>
      <c r="F128" s="468">
        <v>4</v>
      </c>
      <c r="G128" s="468">
        <v>5</v>
      </c>
      <c r="H128" s="1250">
        <v>6</v>
      </c>
      <c r="I128" s="1250"/>
      <c r="J128" s="468">
        <v>7</v>
      </c>
      <c r="K128" s="146"/>
    </row>
    <row r="129" spans="1:11" x14ac:dyDescent="0.3">
      <c r="A129" s="1292" t="s">
        <v>630</v>
      </c>
      <c r="B129" s="1292"/>
      <c r="C129" s="1292"/>
      <c r="D129" s="406">
        <v>0.5</v>
      </c>
      <c r="E129" s="406">
        <f>E77+E78</f>
        <v>12</v>
      </c>
      <c r="F129" s="406">
        <v>79</v>
      </c>
      <c r="G129" s="406">
        <f>D129*E129*F129</f>
        <v>474</v>
      </c>
      <c r="H129" s="1291">
        <f>G129/12</f>
        <v>39.5</v>
      </c>
      <c r="I129" s="1291"/>
      <c r="J129" s="469" t="s">
        <v>631</v>
      </c>
      <c r="K129" s="146"/>
    </row>
    <row r="130" spans="1:11" x14ac:dyDescent="0.3">
      <c r="A130" s="1292" t="s">
        <v>632</v>
      </c>
      <c r="B130" s="1292"/>
      <c r="C130" s="1292"/>
      <c r="D130" s="470">
        <v>8</v>
      </c>
      <c r="E130" s="470">
        <f>E79</f>
        <v>4</v>
      </c>
      <c r="F130" s="406">
        <v>8.4700000000000006</v>
      </c>
      <c r="G130" s="406">
        <f t="shared" ref="G130:G134" si="4">D130*E130*F130</f>
        <v>271.04000000000002</v>
      </c>
      <c r="H130" s="1293">
        <f>G130/12</f>
        <v>22.58666666666667</v>
      </c>
      <c r="I130" s="1294"/>
      <c r="J130" s="409" t="s">
        <v>602</v>
      </c>
      <c r="K130" s="146"/>
    </row>
    <row r="131" spans="1:11" x14ac:dyDescent="0.3">
      <c r="A131" s="1292" t="s">
        <v>898</v>
      </c>
      <c r="B131" s="1292"/>
      <c r="C131" s="1292"/>
      <c r="D131" s="470">
        <f>E88+E108</f>
        <v>2</v>
      </c>
      <c r="E131" s="470">
        <f>D131</f>
        <v>2</v>
      </c>
      <c r="F131" s="406">
        <v>20.51</v>
      </c>
      <c r="G131" s="406">
        <f>D131*F131</f>
        <v>41.02</v>
      </c>
      <c r="H131" s="1291">
        <f>G131/12</f>
        <v>3.4183333333333334</v>
      </c>
      <c r="I131" s="1291"/>
      <c r="J131" s="468" t="s">
        <v>836</v>
      </c>
    </row>
    <row r="132" spans="1:11" x14ac:dyDescent="0.3">
      <c r="A132" s="1292" t="s">
        <v>899</v>
      </c>
      <c r="B132" s="1292"/>
      <c r="C132" s="1292"/>
      <c r="D132" s="406"/>
      <c r="E132" s="470">
        <f>E96</f>
        <v>5</v>
      </c>
      <c r="F132" s="406">
        <v>3.27</v>
      </c>
      <c r="G132" s="406">
        <f>E132*F132</f>
        <v>16.350000000000001</v>
      </c>
      <c r="H132" s="1291">
        <f t="shared" ref="H132:H139" si="5">G132/12</f>
        <v>1.3625</v>
      </c>
      <c r="I132" s="1291"/>
      <c r="J132" s="409" t="s">
        <v>858</v>
      </c>
    </row>
    <row r="133" spans="1:11" x14ac:dyDescent="0.3">
      <c r="A133" s="1292" t="s">
        <v>900</v>
      </c>
      <c r="B133" s="1292"/>
      <c r="C133" s="1292"/>
      <c r="D133" s="406"/>
      <c r="E133" s="470">
        <f>E97</f>
        <v>4</v>
      </c>
      <c r="F133" s="406">
        <v>1.19</v>
      </c>
      <c r="G133" s="406">
        <f>E133*F133</f>
        <v>4.76</v>
      </c>
      <c r="H133" s="1291">
        <f t="shared" si="5"/>
        <v>0.39666666666666667</v>
      </c>
      <c r="I133" s="1291"/>
      <c r="J133" s="409" t="s">
        <v>861</v>
      </c>
    </row>
    <row r="134" spans="1:11" x14ac:dyDescent="0.3">
      <c r="A134" s="1292" t="s">
        <v>907</v>
      </c>
      <c r="B134" s="1292"/>
      <c r="C134" s="1292"/>
      <c r="D134" s="470">
        <f>E99</f>
        <v>50</v>
      </c>
      <c r="E134" s="406">
        <v>0.5</v>
      </c>
      <c r="F134" s="406">
        <v>18.100000000000001</v>
      </c>
      <c r="G134" s="406">
        <f t="shared" si="4"/>
        <v>452.50000000000006</v>
      </c>
      <c r="H134" s="1291">
        <f t="shared" si="5"/>
        <v>37.708333333333336</v>
      </c>
      <c r="I134" s="1291"/>
      <c r="J134" s="468" t="s">
        <v>864</v>
      </c>
    </row>
    <row r="135" spans="1:11" x14ac:dyDescent="0.3">
      <c r="A135" s="1292" t="s">
        <v>901</v>
      </c>
      <c r="B135" s="1292"/>
      <c r="C135" s="1292"/>
      <c r="D135" s="406"/>
      <c r="E135" s="470">
        <f>E102</f>
        <v>3</v>
      </c>
      <c r="F135" s="406">
        <v>5.74</v>
      </c>
      <c r="G135" s="406">
        <f>E135*F135</f>
        <v>17.22</v>
      </c>
      <c r="H135" s="1291">
        <f t="shared" si="5"/>
        <v>1.4349999999999998</v>
      </c>
      <c r="I135" s="1291"/>
      <c r="J135" s="468" t="s">
        <v>871</v>
      </c>
    </row>
    <row r="136" spans="1:11" x14ac:dyDescent="0.3">
      <c r="A136" s="1292" t="s">
        <v>901</v>
      </c>
      <c r="B136" s="1292"/>
      <c r="C136" s="1292"/>
      <c r="D136" s="406"/>
      <c r="E136" s="470">
        <f>E103</f>
        <v>2</v>
      </c>
      <c r="F136" s="406">
        <v>5.74</v>
      </c>
      <c r="G136" s="406">
        <f t="shared" ref="G136:G139" si="6">E136*F136</f>
        <v>11.48</v>
      </c>
      <c r="H136" s="1291">
        <f t="shared" si="5"/>
        <v>0.95666666666666667</v>
      </c>
      <c r="I136" s="1291"/>
      <c r="J136" s="468" t="s">
        <v>873</v>
      </c>
    </row>
    <row r="137" spans="1:11" x14ac:dyDescent="0.3">
      <c r="A137" s="1292" t="s">
        <v>902</v>
      </c>
      <c r="B137" s="1292"/>
      <c r="C137" s="1292"/>
      <c r="D137" s="613"/>
      <c r="E137" s="631">
        <f>E106</f>
        <v>2</v>
      </c>
      <c r="F137" s="507">
        <v>40.47</v>
      </c>
      <c r="G137" s="406">
        <f t="shared" si="6"/>
        <v>80.94</v>
      </c>
      <c r="H137" s="1291">
        <f t="shared" si="5"/>
        <v>6.7450000000000001</v>
      </c>
      <c r="I137" s="1291"/>
      <c r="J137" s="468" t="s">
        <v>903</v>
      </c>
    </row>
    <row r="138" spans="1:11" x14ac:dyDescent="0.3">
      <c r="A138" s="1292" t="s">
        <v>904</v>
      </c>
      <c r="B138" s="1292"/>
      <c r="C138" s="1292"/>
      <c r="D138" s="1409">
        <f>E117</f>
        <v>0</v>
      </c>
      <c r="E138" s="470"/>
      <c r="F138" s="406">
        <v>72.040000000000006</v>
      </c>
      <c r="G138" s="406">
        <f t="shared" si="6"/>
        <v>0</v>
      </c>
      <c r="H138" s="1291">
        <f t="shared" si="5"/>
        <v>0</v>
      </c>
      <c r="I138" s="1291"/>
      <c r="J138" s="1250" t="s">
        <v>887</v>
      </c>
    </row>
    <row r="139" spans="1:11" x14ac:dyDescent="0.3">
      <c r="A139" s="1292" t="s">
        <v>905</v>
      </c>
      <c r="B139" s="1292"/>
      <c r="C139" s="1292"/>
      <c r="D139" s="1250"/>
      <c r="E139" s="470">
        <f>E109</f>
        <v>18</v>
      </c>
      <c r="F139" s="406">
        <v>30.98</v>
      </c>
      <c r="G139" s="406">
        <f t="shared" si="6"/>
        <v>557.64</v>
      </c>
      <c r="H139" s="1403">
        <f t="shared" si="5"/>
        <v>46.47</v>
      </c>
      <c r="I139" s="1403"/>
      <c r="J139" s="1250"/>
    </row>
    <row r="140" spans="1:11" x14ac:dyDescent="0.3">
      <c r="A140" s="1406" t="s">
        <v>906</v>
      </c>
      <c r="B140" s="1406"/>
      <c r="C140" s="1406"/>
      <c r="D140" s="207"/>
      <c r="E140" s="207"/>
      <c r="F140" s="207"/>
      <c r="G140" s="207"/>
      <c r="H140" s="1407">
        <f>SUM(H129:H139)</f>
        <v>160.57916666666665</v>
      </c>
      <c r="I140" s="1408"/>
      <c r="J140" s="207"/>
    </row>
    <row r="141" spans="1:11" x14ac:dyDescent="0.3">
      <c r="A141" s="662" t="s">
        <v>926</v>
      </c>
      <c r="B141" s="662"/>
      <c r="C141" s="662"/>
      <c r="D141" s="662"/>
      <c r="E141" s="662"/>
      <c r="F141" s="662"/>
      <c r="G141" s="662"/>
      <c r="H141" s="662"/>
      <c r="I141" s="662"/>
    </row>
    <row r="142" spans="1:11" ht="69" x14ac:dyDescent="0.3">
      <c r="A142" s="663" t="s">
        <v>11</v>
      </c>
      <c r="B142" s="1404" t="s">
        <v>927</v>
      </c>
      <c r="C142" s="1404"/>
      <c r="D142" s="1404"/>
      <c r="E142" s="1404"/>
      <c r="F142" s="1404"/>
      <c r="G142" s="1404"/>
      <c r="H142" s="663" t="s">
        <v>928</v>
      </c>
      <c r="I142" s="663" t="s">
        <v>929</v>
      </c>
    </row>
    <row r="143" spans="1:11" x14ac:dyDescent="0.3">
      <c r="A143" s="664">
        <v>1</v>
      </c>
      <c r="B143" s="1405" t="s">
        <v>930</v>
      </c>
      <c r="C143" s="1405"/>
      <c r="D143" s="1405"/>
      <c r="E143" s="1405"/>
      <c r="F143" s="1405"/>
      <c r="G143" s="1405"/>
      <c r="H143" s="240">
        <v>4988.34</v>
      </c>
      <c r="I143" s="240">
        <f>ROUND(H143/12,2)</f>
        <v>415.7</v>
      </c>
    </row>
  </sheetData>
  <mergeCells count="245"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</mergeCells>
  <pageMargins left="0.7" right="0.7" top="0.75" bottom="0.75" header="0.3" footer="0.3"/>
  <pageSetup paperSize="9" scale="85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topLeftCell="A15" zoomScaleNormal="100" workbookViewId="0">
      <selection activeCell="B30" sqref="B30:G30"/>
    </sheetView>
  </sheetViews>
  <sheetFormatPr defaultRowHeight="14.4" x14ac:dyDescent="0.3"/>
  <cols>
    <col min="4" max="4" width="19.44140625" customWidth="1"/>
    <col min="9" max="9" width="9.21875" customWidth="1"/>
  </cols>
  <sheetData>
    <row r="1" spans="1:10" x14ac:dyDescent="0.3">
      <c r="A1" t="str">
        <f>прибирання!A1</f>
        <v>м. КанівМаршала Рибалки1</v>
      </c>
      <c r="F1" s="1177" t="s">
        <v>210</v>
      </c>
      <c r="G1" s="1177"/>
      <c r="H1" s="1177"/>
      <c r="I1" s="1177"/>
    </row>
    <row r="2" spans="1:10" x14ac:dyDescent="0.3">
      <c r="F2" s="1177" t="s">
        <v>104</v>
      </c>
      <c r="G2" s="1177"/>
      <c r="H2" s="1177"/>
      <c r="I2" s="1177"/>
    </row>
    <row r="3" spans="1:10" x14ac:dyDescent="0.3">
      <c r="F3" s="1181" t="s">
        <v>633</v>
      </c>
      <c r="G3" s="1181"/>
      <c r="H3" s="1181"/>
      <c r="I3" s="1181"/>
    </row>
    <row r="4" spans="1:10" x14ac:dyDescent="0.3">
      <c r="F4" s="247"/>
      <c r="G4" s="248"/>
      <c r="H4" s="1178" t="s">
        <v>292</v>
      </c>
      <c r="I4" s="1178"/>
    </row>
    <row r="6" spans="1:10" x14ac:dyDescent="0.3">
      <c r="A6" s="1179" t="s">
        <v>296</v>
      </c>
      <c r="B6" s="1179"/>
      <c r="C6" s="1179"/>
      <c r="D6" s="1179"/>
      <c r="E6" s="1179"/>
      <c r="F6" s="1179"/>
      <c r="G6" s="1179"/>
      <c r="H6" s="1179"/>
      <c r="I6" s="1179"/>
      <c r="J6" s="1179"/>
    </row>
    <row r="7" spans="1:10" x14ac:dyDescent="0.3">
      <c r="A7" s="146"/>
      <c r="B7" s="1179" t="s">
        <v>935</v>
      </c>
      <c r="C7" s="1459"/>
      <c r="D7" s="1459"/>
      <c r="E7" s="1460"/>
      <c r="F7" s="1460"/>
      <c r="G7" s="1460"/>
      <c r="H7" s="1460"/>
      <c r="I7" s="1460"/>
    </row>
    <row r="8" spans="1:10" ht="15.6" x14ac:dyDescent="0.3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3">
      <c r="A9" s="1461" t="s">
        <v>934</v>
      </c>
      <c r="B9" s="1462"/>
      <c r="C9" s="1462"/>
      <c r="D9" s="1462"/>
      <c r="E9" s="1462"/>
      <c r="F9" s="1462"/>
      <c r="G9" s="1462"/>
      <c r="H9" s="1462"/>
      <c r="I9" s="1462"/>
    </row>
    <row r="10" spans="1:10" ht="26.4" x14ac:dyDescent="0.3">
      <c r="A10" s="482" t="s">
        <v>212</v>
      </c>
      <c r="B10" s="1463" t="s">
        <v>213</v>
      </c>
      <c r="C10" s="1464"/>
      <c r="D10" s="1465"/>
      <c r="E10" s="483" t="s">
        <v>214</v>
      </c>
      <c r="F10" s="1466" t="s">
        <v>215</v>
      </c>
      <c r="G10" s="1467"/>
      <c r="H10" s="1468" t="s">
        <v>488</v>
      </c>
      <c r="I10" s="1469"/>
    </row>
    <row r="11" spans="1:10" x14ac:dyDescent="0.3">
      <c r="A11" s="215">
        <v>1</v>
      </c>
      <c r="B11" s="1160" t="s">
        <v>659</v>
      </c>
      <c r="C11" s="1437"/>
      <c r="D11" s="1438"/>
      <c r="E11" s="467" t="s">
        <v>177</v>
      </c>
      <c r="F11" s="1455">
        <f>H11*12</f>
        <v>2002.1039999999998</v>
      </c>
      <c r="G11" s="1456"/>
      <c r="H11" s="1457">
        <f>I37</f>
        <v>166.84199999999998</v>
      </c>
      <c r="I11" s="1458"/>
    </row>
    <row r="12" spans="1:10" ht="30" customHeight="1" x14ac:dyDescent="0.3">
      <c r="A12" s="147">
        <v>2</v>
      </c>
      <c r="B12" s="1160" t="s">
        <v>912</v>
      </c>
      <c r="C12" s="1437"/>
      <c r="D12" s="1438"/>
      <c r="E12" s="467" t="s">
        <v>177</v>
      </c>
      <c r="F12" s="1455">
        <f>H12*12</f>
        <v>440.46287999999993</v>
      </c>
      <c r="G12" s="1456"/>
      <c r="H12" s="1457">
        <f>I36*розрахунок!D40/100</f>
        <v>36.705239999999996</v>
      </c>
      <c r="I12" s="1458"/>
    </row>
    <row r="13" spans="1:10" x14ac:dyDescent="0.3">
      <c r="A13" s="215">
        <v>3</v>
      </c>
      <c r="B13" s="1160" t="s">
        <v>499</v>
      </c>
      <c r="C13" s="1437"/>
      <c r="D13" s="1438"/>
      <c r="E13" s="467" t="s">
        <v>177</v>
      </c>
      <c r="F13" s="1455">
        <f>H13*12</f>
        <v>1516.1433100426634</v>
      </c>
      <c r="G13" s="1456"/>
      <c r="H13" s="1457">
        <f>H44</f>
        <v>126.34527583688862</v>
      </c>
      <c r="I13" s="1458"/>
    </row>
    <row r="14" spans="1:10" x14ac:dyDescent="0.3">
      <c r="A14" s="215">
        <v>4</v>
      </c>
      <c r="B14" s="1160" t="s">
        <v>637</v>
      </c>
      <c r="C14" s="1437"/>
      <c r="D14" s="1438"/>
      <c r="E14" s="467" t="s">
        <v>177</v>
      </c>
      <c r="F14" s="1455">
        <f>H14*12</f>
        <v>37.388999999999996</v>
      </c>
      <c r="G14" s="1456"/>
      <c r="H14" s="1457">
        <f>інвентар!I13</f>
        <v>3.1157499999999998</v>
      </c>
      <c r="I14" s="1458"/>
    </row>
    <row r="15" spans="1:10" x14ac:dyDescent="0.3">
      <c r="A15" s="215">
        <v>5</v>
      </c>
      <c r="B15" s="1160" t="s">
        <v>486</v>
      </c>
      <c r="C15" s="1437"/>
      <c r="D15" s="1438"/>
      <c r="E15" s="467" t="s">
        <v>177</v>
      </c>
      <c r="F15" s="1455">
        <f>H15*12</f>
        <v>0</v>
      </c>
      <c r="G15" s="1456"/>
      <c r="H15" s="1457">
        <v>0</v>
      </c>
      <c r="I15" s="1458"/>
    </row>
    <row r="16" spans="1:10" hidden="1" x14ac:dyDescent="0.3">
      <c r="A16" s="215">
        <v>6</v>
      </c>
      <c r="B16" s="1160" t="s">
        <v>660</v>
      </c>
      <c r="C16" s="1437"/>
      <c r="D16" s="1438"/>
      <c r="E16" s="467" t="s">
        <v>164</v>
      </c>
      <c r="F16" s="1447">
        <f>[1]Таблица_Характеристика!N94</f>
        <v>0</v>
      </c>
      <c r="G16" s="1448"/>
      <c r="H16" s="1449"/>
      <c r="I16" s="1450"/>
    </row>
    <row r="17" spans="1:9" hidden="1" x14ac:dyDescent="0.3">
      <c r="A17" s="215">
        <v>7</v>
      </c>
      <c r="B17" s="1160" t="s">
        <v>661</v>
      </c>
      <c r="C17" s="1437"/>
      <c r="D17" s="1438"/>
      <c r="E17" s="467" t="s">
        <v>164</v>
      </c>
      <c r="F17" s="1447">
        <f>розрахунок!D38</f>
        <v>1100</v>
      </c>
      <c r="G17" s="1448"/>
      <c r="H17" s="1449"/>
      <c r="I17" s="1450"/>
    </row>
    <row r="18" spans="1:9" x14ac:dyDescent="0.3">
      <c r="A18" s="215">
        <v>8</v>
      </c>
      <c r="B18" s="1160" t="s">
        <v>662</v>
      </c>
      <c r="C18" s="1437"/>
      <c r="D18" s="1438"/>
      <c r="E18" s="467" t="s">
        <v>164</v>
      </c>
      <c r="F18" s="1447">
        <f>Характеристика!N89</f>
        <v>88</v>
      </c>
      <c r="G18" s="1448"/>
      <c r="H18" s="1449"/>
      <c r="I18" s="1450"/>
    </row>
    <row r="19" spans="1:9" x14ac:dyDescent="0.3">
      <c r="A19" s="215">
        <v>9</v>
      </c>
      <c r="B19" s="1160" t="s">
        <v>663</v>
      </c>
      <c r="C19" s="1437"/>
      <c r="D19" s="1438"/>
      <c r="E19" s="467" t="s">
        <v>164</v>
      </c>
      <c r="F19" s="1447">
        <f>розрахунок!D39</f>
        <v>5000</v>
      </c>
      <c r="G19" s="1448"/>
      <c r="H19" s="1449"/>
      <c r="I19" s="1450"/>
    </row>
    <row r="20" spans="1:9" ht="25.8" hidden="1" customHeight="1" x14ac:dyDescent="0.3">
      <c r="A20" s="215">
        <v>10</v>
      </c>
      <c r="B20" s="1160" t="s">
        <v>638</v>
      </c>
      <c r="C20" s="1437"/>
      <c r="D20" s="1438"/>
      <c r="E20" s="467" t="s">
        <v>177</v>
      </c>
      <c r="F20" s="1451">
        <f>H20*12</f>
        <v>0</v>
      </c>
      <c r="G20" s="1452"/>
      <c r="H20" s="1453"/>
      <c r="I20" s="1454"/>
    </row>
    <row r="21" spans="1:9" ht="27.6" hidden="1" customHeight="1" x14ac:dyDescent="0.3">
      <c r="A21" s="215">
        <v>11</v>
      </c>
      <c r="B21" s="1160" t="s">
        <v>639</v>
      </c>
      <c r="C21" s="1437"/>
      <c r="D21" s="1438"/>
      <c r="E21" s="467" t="s">
        <v>177</v>
      </c>
      <c r="F21" s="1439">
        <f>H21*12</f>
        <v>0</v>
      </c>
      <c r="G21" s="1440"/>
      <c r="H21" s="1441"/>
      <c r="I21" s="1442"/>
    </row>
    <row r="22" spans="1:9" ht="44.4" hidden="1" customHeight="1" x14ac:dyDescent="0.3">
      <c r="A22" s="215">
        <v>12</v>
      </c>
      <c r="B22" s="1160" t="s">
        <v>640</v>
      </c>
      <c r="C22" s="1437"/>
      <c r="D22" s="1438"/>
      <c r="E22" s="467" t="s">
        <v>177</v>
      </c>
      <c r="F22" s="1443">
        <f>F16*F20+F18*F21</f>
        <v>0</v>
      </c>
      <c r="G22" s="1444"/>
      <c r="H22" s="1445">
        <f>F22/12</f>
        <v>0</v>
      </c>
      <c r="I22" s="1446"/>
    </row>
    <row r="23" spans="1:9" x14ac:dyDescent="0.3">
      <c r="A23" s="215">
        <v>10</v>
      </c>
      <c r="B23" s="1432" t="s">
        <v>664</v>
      </c>
      <c r="C23" s="1433"/>
      <c r="D23" s="1434"/>
      <c r="E23" s="485" t="s">
        <v>177</v>
      </c>
      <c r="F23" s="1435">
        <f>F11+F12+F13+F14+F15</f>
        <v>3996.0991900426634</v>
      </c>
      <c r="G23" s="1436"/>
      <c r="H23" s="1435">
        <f>H11+H12+H13+H14+H15</f>
        <v>333.0082658368886</v>
      </c>
      <c r="I23" s="1436"/>
    </row>
    <row r="24" spans="1:9" s="253" customFormat="1" ht="22.2" customHeight="1" x14ac:dyDescent="0.3">
      <c r="A24" s="147">
        <v>11</v>
      </c>
      <c r="B24" s="1413" t="s">
        <v>119</v>
      </c>
      <c r="C24" s="1414"/>
      <c r="D24" s="1415"/>
      <c r="E24" s="476" t="s">
        <v>641</v>
      </c>
      <c r="F24" s="1416">
        <f>Характеристика!N18</f>
        <v>2798.8</v>
      </c>
      <c r="G24" s="1417"/>
      <c r="H24" s="1417"/>
      <c r="I24" s="1418"/>
    </row>
    <row r="25" spans="1:9" x14ac:dyDescent="0.3">
      <c r="A25" s="215">
        <v>12</v>
      </c>
      <c r="B25" s="1274" t="s">
        <v>497</v>
      </c>
      <c r="C25" s="1419"/>
      <c r="D25" s="1420"/>
      <c r="E25" s="215" t="s">
        <v>177</v>
      </c>
      <c r="F25" s="1421">
        <f>H23/F24</f>
        <v>0.11898251602004022</v>
      </c>
      <c r="G25" s="1422"/>
      <c r="H25" s="1422"/>
      <c r="I25" s="1423"/>
    </row>
    <row r="26" spans="1:9" x14ac:dyDescent="0.3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3">
      <c r="A27" s="178" t="s">
        <v>642</v>
      </c>
      <c r="B27" s="178" t="s">
        <v>643</v>
      </c>
      <c r="C27" s="146"/>
      <c r="D27" s="146"/>
      <c r="E27" s="146"/>
      <c r="F27" s="146"/>
      <c r="G27" s="146"/>
      <c r="H27" s="146"/>
      <c r="I27" s="146"/>
    </row>
    <row r="28" spans="1:9" ht="27" x14ac:dyDescent="0.3">
      <c r="A28" s="482" t="s">
        <v>212</v>
      </c>
      <c r="B28" s="1424" t="s">
        <v>644</v>
      </c>
      <c r="C28" s="1424"/>
      <c r="D28" s="1159"/>
      <c r="E28" s="1159"/>
      <c r="F28" s="1159"/>
      <c r="G28" s="1159"/>
      <c r="H28" s="486" t="s">
        <v>214</v>
      </c>
      <c r="I28" s="147" t="s">
        <v>645</v>
      </c>
    </row>
    <row r="29" spans="1:9" hidden="1" x14ac:dyDescent="0.3">
      <c r="A29" s="409">
        <v>1</v>
      </c>
      <c r="B29" s="1425" t="s">
        <v>646</v>
      </c>
      <c r="C29" s="1425"/>
      <c r="D29" s="1159"/>
      <c r="E29" s="1159"/>
      <c r="F29" s="1159"/>
      <c r="G29" s="1159"/>
      <c r="H29" s="409" t="s">
        <v>164</v>
      </c>
      <c r="I29" s="487">
        <v>1100</v>
      </c>
    </row>
    <row r="30" spans="1:9" ht="33.6" customHeight="1" x14ac:dyDescent="0.3">
      <c r="A30" s="409">
        <v>2</v>
      </c>
      <c r="B30" s="1425" t="s">
        <v>647</v>
      </c>
      <c r="C30" s="1425"/>
      <c r="D30" s="1159"/>
      <c r="E30" s="1159"/>
      <c r="F30" s="1159"/>
      <c r="G30" s="1159"/>
      <c r="H30" s="409" t="s">
        <v>164</v>
      </c>
      <c r="I30" s="487">
        <v>5000</v>
      </c>
    </row>
    <row r="31" spans="1:9" x14ac:dyDescent="0.3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3">
      <c r="A32" s="178" t="s">
        <v>522</v>
      </c>
      <c r="B32" s="178" t="s">
        <v>648</v>
      </c>
      <c r="C32" s="146"/>
      <c r="D32" s="146"/>
      <c r="E32" s="146"/>
      <c r="F32" s="146"/>
      <c r="G32" s="146"/>
      <c r="H32" s="146"/>
      <c r="I32" s="146"/>
    </row>
    <row r="33" spans="1:9" ht="118.8" x14ac:dyDescent="0.3">
      <c r="A33" s="1426" t="s">
        <v>649</v>
      </c>
      <c r="B33" s="1233"/>
      <c r="C33" s="488" t="s">
        <v>650</v>
      </c>
      <c r="D33" s="489" t="s">
        <v>651</v>
      </c>
      <c r="E33" s="256" t="s">
        <v>617</v>
      </c>
      <c r="F33" s="490" t="s">
        <v>652</v>
      </c>
      <c r="G33" s="256" t="s">
        <v>653</v>
      </c>
      <c r="H33" s="256" t="s">
        <v>619</v>
      </c>
      <c r="I33" s="256" t="s">
        <v>271</v>
      </c>
    </row>
    <row r="34" spans="1:9" x14ac:dyDescent="0.3">
      <c r="A34" s="1427">
        <v>1</v>
      </c>
      <c r="B34" s="1233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3">
      <c r="A35" s="1428" t="s">
        <v>654</v>
      </c>
      <c r="B35" s="1429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7475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3">
      <c r="A36" s="1430" t="s">
        <v>655</v>
      </c>
      <c r="B36" s="1431"/>
      <c r="C36" s="494">
        <f>F18</f>
        <v>88</v>
      </c>
      <c r="D36" s="495">
        <f>I30</f>
        <v>5000</v>
      </c>
      <c r="E36" s="496">
        <f>ROUND(C36/D36,3)</f>
        <v>1.7999999999999999E-2</v>
      </c>
      <c r="F36" s="421">
        <f>оклади!K11</f>
        <v>7475</v>
      </c>
      <c r="G36" s="421">
        <f>E36*F36</f>
        <v>134.54999999999998</v>
      </c>
      <c r="H36" s="421">
        <f>G36*0.15</f>
        <v>20.182499999999997</v>
      </c>
      <c r="I36" s="421">
        <f>G36*1.09+H36</f>
        <v>166.84199999999998</v>
      </c>
    </row>
    <row r="37" spans="1:9" x14ac:dyDescent="0.3">
      <c r="A37" s="1411" t="s">
        <v>218</v>
      </c>
      <c r="B37" s="1412"/>
      <c r="C37" s="497"/>
      <c r="D37" s="497"/>
      <c r="E37" s="498">
        <f>SUM(E35:E36)</f>
        <v>1.7999999999999999E-2</v>
      </c>
      <c r="F37" s="423"/>
      <c r="G37" s="499">
        <f>SUM(G35:G36)</f>
        <v>134.54999999999998</v>
      </c>
      <c r="H37" s="499">
        <f>SUM(H35:H36)</f>
        <v>20.182499999999997</v>
      </c>
      <c r="I37" s="499">
        <f>SUM(I35:I36)</f>
        <v>166.84199999999998</v>
      </c>
    </row>
    <row r="38" spans="1:9" x14ac:dyDescent="0.3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3">
      <c r="A39" s="1255" t="s">
        <v>656</v>
      </c>
      <c r="B39" s="1410"/>
      <c r="C39" s="1410"/>
      <c r="D39" s="1410"/>
      <c r="E39" s="1410"/>
      <c r="F39" s="1410"/>
      <c r="G39" s="1410"/>
      <c r="H39" s="1410"/>
      <c r="I39" s="1410"/>
    </row>
    <row r="40" spans="1:9" ht="60" x14ac:dyDescent="0.3">
      <c r="A40" s="1257" t="s">
        <v>273</v>
      </c>
      <c r="B40" s="1258"/>
      <c r="C40" s="226" t="s">
        <v>274</v>
      </c>
      <c r="D40" s="226" t="s">
        <v>492</v>
      </c>
      <c r="E40" s="226" t="s">
        <v>276</v>
      </c>
      <c r="F40" s="1257" t="s">
        <v>657</v>
      </c>
      <c r="G40" s="744"/>
      <c r="H40" s="1257" t="s">
        <v>658</v>
      </c>
      <c r="I40" s="1259"/>
    </row>
    <row r="41" spans="1:9" x14ac:dyDescent="0.3">
      <c r="A41" s="1257">
        <v>1</v>
      </c>
      <c r="B41" s="1258"/>
      <c r="C41" s="226">
        <v>2</v>
      </c>
      <c r="D41" s="226">
        <v>3</v>
      </c>
      <c r="E41" s="226">
        <v>4</v>
      </c>
      <c r="F41" s="1257">
        <v>5</v>
      </c>
      <c r="G41" s="744"/>
      <c r="H41" s="1257">
        <v>6</v>
      </c>
      <c r="I41" s="1259"/>
    </row>
    <row r="42" spans="1:9" ht="41.4" customHeight="1" x14ac:dyDescent="0.3">
      <c r="A42" s="1280" t="s">
        <v>279</v>
      </c>
      <c r="B42" s="1280"/>
      <c r="C42" s="399">
        <f>прибирання!C49</f>
        <v>1782768</v>
      </c>
      <c r="D42" s="238">
        <f>прибирання!D49</f>
        <v>4193729</v>
      </c>
      <c r="E42" s="472">
        <f>C42/D42*100</f>
        <v>42.51032911282536</v>
      </c>
      <c r="F42" s="1261">
        <f>I37</f>
        <v>166.84199999999998</v>
      </c>
      <c r="G42" s="744"/>
      <c r="H42" s="1261">
        <f>E42*F42/100</f>
        <v>70.925083298420077</v>
      </c>
      <c r="I42" s="847"/>
    </row>
    <row r="43" spans="1:9" ht="22.2" customHeight="1" x14ac:dyDescent="0.3">
      <c r="A43" s="1280" t="s">
        <v>280</v>
      </c>
      <c r="B43" s="1280"/>
      <c r="C43" s="399">
        <f>прибирання!C50</f>
        <v>2914645</v>
      </c>
      <c r="D43" s="238">
        <f>прибирання!D50</f>
        <v>14598843</v>
      </c>
      <c r="E43" s="472">
        <f>C43/D43*100</f>
        <v>19.964904068082657</v>
      </c>
      <c r="F43" s="1261">
        <f>H42+H11+H12+H14</f>
        <v>277.58807329842006</v>
      </c>
      <c r="G43" s="744"/>
      <c r="H43" s="1261">
        <f>E43*F43/100</f>
        <v>55.420192538468534</v>
      </c>
      <c r="I43" s="847"/>
    </row>
    <row r="44" spans="1:9" ht="40.200000000000003" customHeight="1" x14ac:dyDescent="0.3">
      <c r="A44" s="1282" t="s">
        <v>281</v>
      </c>
      <c r="B44" s="1282"/>
      <c r="C44" s="400"/>
      <c r="D44" s="401"/>
      <c r="E44" s="473"/>
      <c r="F44" s="1267"/>
      <c r="G44" s="744"/>
      <c r="H44" s="1267">
        <f>SUM(H42:H43)</f>
        <v>126.34527583688862</v>
      </c>
      <c r="I44" s="847"/>
    </row>
  </sheetData>
  <mergeCells count="73">
    <mergeCell ref="F1:I1"/>
    <mergeCell ref="F2:I2"/>
    <mergeCell ref="F3:I3"/>
    <mergeCell ref="H4:I4"/>
    <mergeCell ref="A6:J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topLeftCell="A16" zoomScaleNormal="100" workbookViewId="0">
      <selection activeCell="F32" sqref="F32"/>
    </sheetView>
  </sheetViews>
  <sheetFormatPr defaultRowHeight="14.4" x14ac:dyDescent="0.3"/>
  <cols>
    <col min="6" max="6" width="8.8867187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КанівМаршала Рибалки1</v>
      </c>
      <c r="F1" s="1177" t="s">
        <v>210</v>
      </c>
      <c r="G1" s="1177"/>
      <c r="H1" s="1177"/>
      <c r="I1" s="1177"/>
    </row>
    <row r="2" spans="1:10" x14ac:dyDescent="0.3">
      <c r="F2" s="1177" t="s">
        <v>104</v>
      </c>
      <c r="G2" s="1177"/>
      <c r="H2" s="1177"/>
      <c r="I2" s="1177"/>
    </row>
    <row r="3" spans="1:10" x14ac:dyDescent="0.3">
      <c r="F3" s="1181" t="s">
        <v>633</v>
      </c>
      <c r="G3" s="1181"/>
      <c r="H3" s="1181"/>
      <c r="I3" s="1181"/>
    </row>
    <row r="4" spans="1:10" x14ac:dyDescent="0.3">
      <c r="F4" s="247"/>
      <c r="G4" s="248"/>
      <c r="H4" s="1178" t="s">
        <v>292</v>
      </c>
      <c r="I4" s="1178"/>
    </row>
    <row r="6" spans="1:10" x14ac:dyDescent="0.3">
      <c r="A6" s="1179" t="s">
        <v>296</v>
      </c>
      <c r="B6" s="1179"/>
      <c r="C6" s="1179"/>
      <c r="D6" s="1179"/>
      <c r="E6" s="1179"/>
      <c r="F6" s="1179"/>
      <c r="G6" s="1179"/>
      <c r="H6" s="1179"/>
      <c r="I6" s="1179"/>
      <c r="J6" s="532"/>
    </row>
    <row r="7" spans="1:10" ht="63" customHeight="1" x14ac:dyDescent="0.3">
      <c r="A7" s="1470" t="s">
        <v>675</v>
      </c>
      <c r="B7" s="1470"/>
      <c r="C7" s="1470"/>
      <c r="D7" s="1470"/>
      <c r="E7" s="1470"/>
      <c r="F7" s="1470"/>
      <c r="G7" s="1470"/>
      <c r="H7" s="1470"/>
      <c r="I7" s="1470"/>
    </row>
    <row r="9" spans="1:10" ht="27" x14ac:dyDescent="0.3">
      <c r="A9" s="1424" t="s">
        <v>665</v>
      </c>
      <c r="B9" s="1424"/>
      <c r="C9" s="1424"/>
      <c r="D9" s="1424"/>
      <c r="E9" s="744"/>
      <c r="F9" s="744"/>
      <c r="G9" s="486" t="s">
        <v>214</v>
      </c>
      <c r="H9" s="179" t="s">
        <v>215</v>
      </c>
      <c r="I9" s="179" t="s">
        <v>488</v>
      </c>
    </row>
    <row r="10" spans="1:10" ht="29.4" customHeight="1" x14ac:dyDescent="0.3">
      <c r="A10" s="1425" t="s">
        <v>676</v>
      </c>
      <c r="B10" s="1425"/>
      <c r="C10" s="1425"/>
      <c r="D10" s="1425"/>
      <c r="E10" s="744"/>
      <c r="F10" s="744"/>
      <c r="G10" s="468" t="s">
        <v>177</v>
      </c>
      <c r="H10" s="506">
        <f>F33</f>
        <v>13061</v>
      </c>
      <c r="I10" s="506">
        <f>ROUND(H10/12,2)</f>
        <v>1088.42</v>
      </c>
    </row>
    <row r="11" spans="1:10" ht="28.2" customHeight="1" x14ac:dyDescent="0.3">
      <c r="A11" s="1425" t="s">
        <v>300</v>
      </c>
      <c r="B11" s="1425"/>
      <c r="C11" s="1425"/>
      <c r="D11" s="1425"/>
      <c r="E11" s="744"/>
      <c r="F11" s="744"/>
      <c r="G11" s="468" t="s">
        <v>177</v>
      </c>
      <c r="H11" s="506">
        <f>I11*12</f>
        <v>2873.4288000000001</v>
      </c>
      <c r="I11" s="506">
        <f>'поточ рем. констр.ел '!I10*розрахунок!D40/100</f>
        <v>239.45240000000001</v>
      </c>
    </row>
    <row r="12" spans="1:10" x14ac:dyDescent="0.3">
      <c r="A12" s="1425" t="s">
        <v>499</v>
      </c>
      <c r="B12" s="1425"/>
      <c r="C12" s="1425"/>
      <c r="D12" s="1425"/>
      <c r="E12" s="744"/>
      <c r="F12" s="744"/>
      <c r="G12" s="468" t="s">
        <v>177</v>
      </c>
      <c r="H12" s="506">
        <f>I12*12</f>
        <v>10831.962032542775</v>
      </c>
      <c r="I12" s="506">
        <f>I24</f>
        <v>902.66350271189788</v>
      </c>
    </row>
    <row r="13" spans="1:10" x14ac:dyDescent="0.3">
      <c r="A13" s="1425" t="s">
        <v>637</v>
      </c>
      <c r="B13" s="1425"/>
      <c r="C13" s="1425"/>
      <c r="D13" s="1425"/>
      <c r="E13" s="744"/>
      <c r="F13" s="744"/>
      <c r="G13" s="468" t="s">
        <v>177</v>
      </c>
      <c r="H13" s="506">
        <f>G33</f>
        <v>4958</v>
      </c>
      <c r="I13" s="506">
        <f>H13/12</f>
        <v>413.16666666666669</v>
      </c>
    </row>
    <row r="14" spans="1:10" x14ac:dyDescent="0.3">
      <c r="A14" s="1472" t="s">
        <v>666</v>
      </c>
      <c r="B14" s="1159"/>
      <c r="C14" s="1159"/>
      <c r="D14" s="1159"/>
      <c r="E14" s="744"/>
      <c r="F14" s="744"/>
      <c r="G14" s="468" t="s">
        <v>177</v>
      </c>
      <c r="H14" s="484">
        <f>I33</f>
        <v>0</v>
      </c>
      <c r="I14" s="507">
        <f>H14/12</f>
        <v>0</v>
      </c>
    </row>
    <row r="15" spans="1:10" x14ac:dyDescent="0.3">
      <c r="A15" s="1399" t="s">
        <v>664</v>
      </c>
      <c r="B15" s="849"/>
      <c r="C15" s="849"/>
      <c r="D15" s="849"/>
      <c r="E15" s="849"/>
      <c r="F15" s="850"/>
      <c r="G15" s="215" t="s">
        <v>177</v>
      </c>
      <c r="H15" s="508">
        <f>SUM(H10:H14)</f>
        <v>31724.390832542776</v>
      </c>
      <c r="I15" s="509">
        <f>SUM(I10:I14)</f>
        <v>2643.7025693785645</v>
      </c>
    </row>
    <row r="16" spans="1:10" ht="14.4" customHeight="1" x14ac:dyDescent="0.3">
      <c r="A16" s="1413" t="s">
        <v>119</v>
      </c>
      <c r="B16" s="1473"/>
      <c r="C16" s="1473"/>
      <c r="D16" s="1473"/>
      <c r="E16" s="1473"/>
      <c r="F16" s="1474"/>
      <c r="G16" s="215" t="s">
        <v>177</v>
      </c>
      <c r="H16" s="1475">
        <f>Характеристика!N18</f>
        <v>2798.8</v>
      </c>
      <c r="I16" s="1210"/>
    </row>
    <row r="17" spans="1:9" x14ac:dyDescent="0.3">
      <c r="A17" s="1173" t="s">
        <v>497</v>
      </c>
      <c r="B17" s="1173"/>
      <c r="C17" s="1173"/>
      <c r="D17" s="1173"/>
      <c r="E17" s="744"/>
      <c r="F17" s="744"/>
      <c r="G17" s="215" t="s">
        <v>177</v>
      </c>
      <c r="H17" s="1476">
        <f>I15/H16</f>
        <v>0.94458431091130635</v>
      </c>
      <c r="I17" s="1311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71" t="s">
        <v>667</v>
      </c>
      <c r="C19" s="1459"/>
      <c r="D19" s="1459"/>
      <c r="E19" s="1459"/>
      <c r="F19" s="1459"/>
      <c r="G19" s="1459"/>
      <c r="H19" s="1459"/>
      <c r="I19" s="1459"/>
    </row>
    <row r="20" spans="1:9" ht="60" x14ac:dyDescent="0.3">
      <c r="A20" s="1232" t="s">
        <v>273</v>
      </c>
      <c r="B20" s="1286"/>
      <c r="C20" s="1232" t="s">
        <v>274</v>
      </c>
      <c r="D20" s="1286"/>
      <c r="E20" s="1232" t="s">
        <v>668</v>
      </c>
      <c r="F20" s="1286"/>
      <c r="G20" s="226" t="s">
        <v>276</v>
      </c>
      <c r="H20" s="227" t="s">
        <v>669</v>
      </c>
      <c r="I20" s="226" t="s">
        <v>670</v>
      </c>
    </row>
    <row r="21" spans="1:9" x14ac:dyDescent="0.3">
      <c r="A21" s="1232">
        <v>1</v>
      </c>
      <c r="B21" s="1284"/>
      <c r="C21" s="1232">
        <v>2</v>
      </c>
      <c r="D21" s="1286"/>
      <c r="E21" s="1232">
        <v>3</v>
      </c>
      <c r="F21" s="1286"/>
      <c r="G21" s="227">
        <v>4</v>
      </c>
      <c r="H21" s="227">
        <v>5</v>
      </c>
      <c r="I21" s="226">
        <v>6</v>
      </c>
    </row>
    <row r="22" spans="1:9" ht="33.6" customHeight="1" x14ac:dyDescent="0.3">
      <c r="A22" s="1287" t="s">
        <v>279</v>
      </c>
      <c r="B22" s="1288"/>
      <c r="C22" s="1281">
        <f>прибирання!C49</f>
        <v>1782768</v>
      </c>
      <c r="D22" s="1257"/>
      <c r="E22" s="1261">
        <f>прибирання!D49</f>
        <v>4193729</v>
      </c>
      <c r="F22" s="1261"/>
      <c r="G22" s="463">
        <f>C22/E22*100</f>
        <v>42.51032911282536</v>
      </c>
      <c r="H22" s="479">
        <f>I10</f>
        <v>1088.42</v>
      </c>
      <c r="I22" s="238">
        <f>G22*H22/100</f>
        <v>462.69092412981377</v>
      </c>
    </row>
    <row r="23" spans="1:9" ht="33" customHeight="1" x14ac:dyDescent="0.3">
      <c r="A23" s="1287" t="s">
        <v>280</v>
      </c>
      <c r="B23" s="1288"/>
      <c r="C23" s="1281">
        <f>прибирання!C50</f>
        <v>2914645</v>
      </c>
      <c r="D23" s="1257"/>
      <c r="E23" s="1261">
        <f>прибирання!D50</f>
        <v>14598843</v>
      </c>
      <c r="F23" s="1261"/>
      <c r="G23" s="463">
        <f>C23/E23*100</f>
        <v>19.964904068082657</v>
      </c>
      <c r="H23" s="479">
        <f>I10+I11+I13+I14+I22</f>
        <v>2203.7299907964807</v>
      </c>
      <c r="I23" s="238">
        <f>G23*H23/100</f>
        <v>439.97257858208411</v>
      </c>
    </row>
    <row r="24" spans="1:9" ht="24.6" customHeight="1" x14ac:dyDescent="0.3">
      <c r="A24" s="1295" t="s">
        <v>281</v>
      </c>
      <c r="B24" s="1296"/>
      <c r="C24" s="1283"/>
      <c r="D24" s="1265"/>
      <c r="E24" s="1267"/>
      <c r="F24" s="1267"/>
      <c r="G24" s="464"/>
      <c r="H24" s="480"/>
      <c r="I24" s="401">
        <f>SUM(I22:I23)</f>
        <v>902.66350271189788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77" t="s">
        <v>671</v>
      </c>
      <c r="B26" s="1477"/>
      <c r="C26" s="1477"/>
      <c r="D26" s="1477"/>
      <c r="E26" s="1477"/>
      <c r="F26" s="1477"/>
      <c r="G26" s="1477"/>
      <c r="H26" s="790"/>
      <c r="I26" s="790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212</v>
      </c>
      <c r="B28" s="1363" t="s">
        <v>672</v>
      </c>
      <c r="C28" s="1419"/>
      <c r="D28" s="1420"/>
      <c r="E28" s="179" t="s">
        <v>214</v>
      </c>
      <c r="F28" s="179" t="s">
        <v>673</v>
      </c>
      <c r="G28" s="478" t="s">
        <v>674</v>
      </c>
      <c r="H28" s="512"/>
      <c r="I28" s="513"/>
    </row>
    <row r="29" spans="1:9" x14ac:dyDescent="0.3">
      <c r="A29" s="514">
        <v>1</v>
      </c>
      <c r="B29" s="1478">
        <v>2</v>
      </c>
      <c r="C29" s="1402"/>
      <c r="D29" s="1402"/>
      <c r="E29" s="514">
        <v>3</v>
      </c>
      <c r="F29" s="514">
        <v>4</v>
      </c>
      <c r="G29" s="515">
        <v>5</v>
      </c>
      <c r="H29" s="516"/>
      <c r="I29" s="517"/>
    </row>
    <row r="30" spans="1:9" hidden="1" x14ac:dyDescent="0.3">
      <c r="A30" s="514">
        <v>1</v>
      </c>
      <c r="B30" s="1479"/>
      <c r="C30" s="1419"/>
      <c r="D30" s="1420"/>
      <c r="E30" s="518" t="s">
        <v>177</v>
      </c>
      <c r="F30" s="519"/>
      <c r="G30" s="520"/>
      <c r="H30" s="521"/>
      <c r="I30" s="522"/>
    </row>
    <row r="31" spans="1:9" x14ac:dyDescent="0.3">
      <c r="A31" s="514">
        <v>2</v>
      </c>
      <c r="B31" s="1480" t="s">
        <v>936</v>
      </c>
      <c r="C31" s="1437"/>
      <c r="D31" s="1438"/>
      <c r="E31" s="523" t="s">
        <v>177</v>
      </c>
      <c r="F31" s="519">
        <v>13061</v>
      </c>
      <c r="G31" s="520">
        <v>4958</v>
      </c>
      <c r="H31" s="524"/>
      <c r="I31" s="525"/>
    </row>
    <row r="32" spans="1:9" x14ac:dyDescent="0.3">
      <c r="A32" s="526">
        <v>3</v>
      </c>
      <c r="B32" s="1481"/>
      <c r="C32" s="1464"/>
      <c r="D32" s="1465"/>
      <c r="E32" s="523" t="s">
        <v>177</v>
      </c>
      <c r="F32" s="519"/>
      <c r="G32" s="520"/>
      <c r="H32" s="524"/>
      <c r="I32" s="525"/>
    </row>
    <row r="33" spans="1:9" x14ac:dyDescent="0.3">
      <c r="A33" s="527"/>
      <c r="B33" s="1482" t="s">
        <v>218</v>
      </c>
      <c r="C33" s="1437"/>
      <c r="D33" s="1438"/>
      <c r="E33" s="528"/>
      <c r="F33" s="529">
        <f>SUM(F30:F32)</f>
        <v>13061</v>
      </c>
      <c r="G33" s="529">
        <f>SUM(G30:G32)</f>
        <v>4958</v>
      </c>
      <c r="H33" s="530"/>
      <c r="I33" s="531"/>
    </row>
  </sheetData>
  <mergeCells count="40">
    <mergeCell ref="B30:D30"/>
    <mergeCell ref="B31:D31"/>
    <mergeCell ref="B32:D32"/>
    <mergeCell ref="B33:D33"/>
    <mergeCell ref="A24:B24"/>
    <mergeCell ref="C24:D24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zoomScaleNormal="100" workbookViewId="0">
      <selection activeCell="G30" sqref="G30"/>
    </sheetView>
  </sheetViews>
  <sheetFormatPr defaultRowHeight="14.4" x14ac:dyDescent="0.3"/>
  <cols>
    <col min="6" max="6" width="8.664062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КанівМаршала Рибалки1</v>
      </c>
      <c r="F1" s="1177" t="s">
        <v>210</v>
      </c>
      <c r="G1" s="1177"/>
      <c r="H1" s="1177"/>
      <c r="I1" s="1177"/>
    </row>
    <row r="2" spans="1:10" x14ac:dyDescent="0.3">
      <c r="F2" s="1177" t="s">
        <v>104</v>
      </c>
      <c r="G2" s="1177"/>
      <c r="H2" s="1177"/>
      <c r="I2" s="1177"/>
    </row>
    <row r="3" spans="1:10" x14ac:dyDescent="0.3">
      <c r="F3" s="1181" t="s">
        <v>633</v>
      </c>
      <c r="G3" s="1181"/>
      <c r="H3" s="1181"/>
      <c r="I3" s="1181"/>
    </row>
    <row r="4" spans="1:10" x14ac:dyDescent="0.3">
      <c r="F4" s="247"/>
      <c r="G4" s="248"/>
      <c r="H4" s="1178" t="s">
        <v>292</v>
      </c>
      <c r="I4" s="1178"/>
    </row>
    <row r="6" spans="1:10" x14ac:dyDescent="0.3">
      <c r="A6" s="1179" t="s">
        <v>296</v>
      </c>
      <c r="B6" s="1179"/>
      <c r="C6" s="1179"/>
      <c r="D6" s="1179"/>
      <c r="E6" s="1179"/>
      <c r="F6" s="1179"/>
      <c r="G6" s="1179"/>
      <c r="H6" s="1179"/>
      <c r="I6" s="1179"/>
      <c r="J6" s="532"/>
    </row>
    <row r="7" spans="1:10" ht="40.200000000000003" customHeight="1" x14ac:dyDescent="0.3">
      <c r="A7" s="1483" t="s">
        <v>977</v>
      </c>
      <c r="B7" s="1483"/>
      <c r="C7" s="1483"/>
      <c r="D7" s="1483"/>
      <c r="E7" s="1483"/>
      <c r="F7" s="1483"/>
      <c r="G7" s="1483"/>
      <c r="H7" s="1483"/>
      <c r="I7" s="1483"/>
    </row>
    <row r="9" spans="1:10" ht="27" x14ac:dyDescent="0.3">
      <c r="A9" s="1424" t="s">
        <v>665</v>
      </c>
      <c r="B9" s="1424"/>
      <c r="C9" s="1424"/>
      <c r="D9" s="1424"/>
      <c r="E9" s="744"/>
      <c r="F9" s="744"/>
      <c r="G9" s="486" t="s">
        <v>214</v>
      </c>
      <c r="H9" s="179" t="s">
        <v>215</v>
      </c>
      <c r="I9" s="179" t="s">
        <v>488</v>
      </c>
    </row>
    <row r="10" spans="1:10" ht="29.4" customHeight="1" x14ac:dyDescent="0.3">
      <c r="A10" s="1425" t="s">
        <v>677</v>
      </c>
      <c r="B10" s="1425"/>
      <c r="C10" s="1425"/>
      <c r="D10" s="1425"/>
      <c r="E10" s="744"/>
      <c r="F10" s="744"/>
      <c r="G10" s="468" t="s">
        <v>177</v>
      </c>
      <c r="H10" s="506">
        <f>F33</f>
        <v>8405</v>
      </c>
      <c r="I10" s="506">
        <f>ROUND(H10/12,2)</f>
        <v>700.42</v>
      </c>
    </row>
    <row r="11" spans="1:10" ht="28.2" customHeight="1" x14ac:dyDescent="0.3">
      <c r="A11" s="1425" t="s">
        <v>300</v>
      </c>
      <c r="B11" s="1425"/>
      <c r="C11" s="1425"/>
      <c r="D11" s="1425"/>
      <c r="E11" s="744"/>
      <c r="F11" s="744"/>
      <c r="G11" s="468" t="s">
        <v>177</v>
      </c>
      <c r="H11" s="506">
        <f>I11*12</f>
        <v>1849.1088</v>
      </c>
      <c r="I11" s="506">
        <f>'поточ рем. внутр.б.мереж'!I10*розрахунок!D40/100</f>
        <v>154.0924</v>
      </c>
    </row>
    <row r="12" spans="1:10" x14ac:dyDescent="0.3">
      <c r="A12" s="1425" t="s">
        <v>499</v>
      </c>
      <c r="B12" s="1425"/>
      <c r="C12" s="1425"/>
      <c r="D12" s="1425"/>
      <c r="E12" s="744"/>
      <c r="F12" s="744"/>
      <c r="G12" s="468" t="s">
        <v>177</v>
      </c>
      <c r="H12" s="506">
        <f>I12*12</f>
        <v>7887.856970680943</v>
      </c>
      <c r="I12" s="506">
        <f>I24</f>
        <v>657.32141422341192</v>
      </c>
    </row>
    <row r="13" spans="1:10" x14ac:dyDescent="0.3">
      <c r="A13" s="1425" t="s">
        <v>637</v>
      </c>
      <c r="B13" s="1425"/>
      <c r="C13" s="1425"/>
      <c r="D13" s="1425"/>
      <c r="E13" s="744"/>
      <c r="F13" s="744"/>
      <c r="G13" s="468" t="s">
        <v>177</v>
      </c>
      <c r="H13" s="506">
        <f>G33</f>
        <v>7785</v>
      </c>
      <c r="I13" s="506">
        <f>H13/12</f>
        <v>648.75</v>
      </c>
    </row>
    <row r="14" spans="1:10" hidden="1" x14ac:dyDescent="0.3">
      <c r="A14" s="1472" t="s">
        <v>666</v>
      </c>
      <c r="B14" s="1159"/>
      <c r="C14" s="1159"/>
      <c r="D14" s="1159"/>
      <c r="E14" s="744"/>
      <c r="F14" s="744"/>
      <c r="G14" s="468" t="s">
        <v>177</v>
      </c>
      <c r="H14" s="484">
        <f>I33</f>
        <v>0</v>
      </c>
      <c r="I14" s="507">
        <f>H14/12</f>
        <v>0</v>
      </c>
    </row>
    <row r="15" spans="1:10" x14ac:dyDescent="0.3">
      <c r="A15" s="1399" t="s">
        <v>664</v>
      </c>
      <c r="B15" s="849"/>
      <c r="C15" s="849"/>
      <c r="D15" s="849"/>
      <c r="E15" s="849"/>
      <c r="F15" s="850"/>
      <c r="G15" s="215" t="s">
        <v>177</v>
      </c>
      <c r="H15" s="508">
        <f>SUM(H10:H14)</f>
        <v>25926.965770680945</v>
      </c>
      <c r="I15" s="509">
        <f>SUM(I10:I14)</f>
        <v>2160.583814223412</v>
      </c>
    </row>
    <row r="16" spans="1:10" ht="14.4" customHeight="1" x14ac:dyDescent="0.3">
      <c r="A16" s="1413" t="s">
        <v>119</v>
      </c>
      <c r="B16" s="1473"/>
      <c r="C16" s="1473"/>
      <c r="D16" s="1473"/>
      <c r="E16" s="1473"/>
      <c r="F16" s="1474"/>
      <c r="G16" s="215" t="s">
        <v>177</v>
      </c>
      <c r="H16" s="1475">
        <f>Характеристика!N18</f>
        <v>2798.8</v>
      </c>
      <c r="I16" s="1210"/>
    </row>
    <row r="17" spans="1:9" x14ac:dyDescent="0.3">
      <c r="A17" s="1173" t="s">
        <v>497</v>
      </c>
      <c r="B17" s="1173"/>
      <c r="C17" s="1173"/>
      <c r="D17" s="1173"/>
      <c r="E17" s="744"/>
      <c r="F17" s="744"/>
      <c r="G17" s="215" t="s">
        <v>177</v>
      </c>
      <c r="H17" s="1476">
        <f>I15/H16</f>
        <v>0.77196791990260538</v>
      </c>
      <c r="I17" s="1311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71" t="s">
        <v>667</v>
      </c>
      <c r="C19" s="1459"/>
      <c r="D19" s="1459"/>
      <c r="E19" s="1459"/>
      <c r="F19" s="1459"/>
      <c r="G19" s="1459"/>
      <c r="H19" s="1459"/>
      <c r="I19" s="1459"/>
    </row>
    <row r="20" spans="1:9" ht="60" x14ac:dyDescent="0.3">
      <c r="A20" s="1232" t="s">
        <v>273</v>
      </c>
      <c r="B20" s="1286"/>
      <c r="C20" s="1232" t="s">
        <v>274</v>
      </c>
      <c r="D20" s="1286"/>
      <c r="E20" s="1232" t="s">
        <v>668</v>
      </c>
      <c r="F20" s="1286"/>
      <c r="G20" s="226" t="s">
        <v>276</v>
      </c>
      <c r="H20" s="227" t="s">
        <v>669</v>
      </c>
      <c r="I20" s="226" t="s">
        <v>670</v>
      </c>
    </row>
    <row r="21" spans="1:9" x14ac:dyDescent="0.3">
      <c r="A21" s="1232">
        <v>1</v>
      </c>
      <c r="B21" s="1284"/>
      <c r="C21" s="1232">
        <v>2</v>
      </c>
      <c r="D21" s="1286"/>
      <c r="E21" s="1232">
        <v>3</v>
      </c>
      <c r="F21" s="1286"/>
      <c r="G21" s="227">
        <v>4</v>
      </c>
      <c r="H21" s="227">
        <v>5</v>
      </c>
      <c r="I21" s="226">
        <v>6</v>
      </c>
    </row>
    <row r="22" spans="1:9" ht="33.6" customHeight="1" x14ac:dyDescent="0.3">
      <c r="A22" s="1287" t="s">
        <v>279</v>
      </c>
      <c r="B22" s="1288"/>
      <c r="C22" s="1281">
        <f>прибирання!C49</f>
        <v>1782768</v>
      </c>
      <c r="D22" s="1257"/>
      <c r="E22" s="1261">
        <f>прибирання!D49</f>
        <v>4193729</v>
      </c>
      <c r="F22" s="1261"/>
      <c r="G22" s="463">
        <f>C22/E22*100</f>
        <v>42.51032911282536</v>
      </c>
      <c r="H22" s="479">
        <f>I10</f>
        <v>700.42</v>
      </c>
      <c r="I22" s="238">
        <f>G22*H22/100</f>
        <v>297.75084717205135</v>
      </c>
    </row>
    <row r="23" spans="1:9" ht="33" customHeight="1" x14ac:dyDescent="0.3">
      <c r="A23" s="1287" t="s">
        <v>280</v>
      </c>
      <c r="B23" s="1288"/>
      <c r="C23" s="1281">
        <f>прибирання!C50</f>
        <v>2914645</v>
      </c>
      <c r="D23" s="1257"/>
      <c r="E23" s="1261">
        <f>прибирання!D50</f>
        <v>14598843</v>
      </c>
      <c r="F23" s="1261"/>
      <c r="G23" s="463">
        <f>C23/E23*100</f>
        <v>19.964904068082657</v>
      </c>
      <c r="H23" s="479">
        <f>I10+I11+I13+I14+I22</f>
        <v>1801.0132471720515</v>
      </c>
      <c r="I23" s="238">
        <f>G23*H23/100</f>
        <v>359.57056705136051</v>
      </c>
    </row>
    <row r="24" spans="1:9" ht="24.6" customHeight="1" x14ac:dyDescent="0.3">
      <c r="A24" s="1295" t="s">
        <v>281</v>
      </c>
      <c r="B24" s="1296"/>
      <c r="C24" s="1283"/>
      <c r="D24" s="1265"/>
      <c r="E24" s="1267"/>
      <c r="F24" s="1267"/>
      <c r="G24" s="464"/>
      <c r="H24" s="480"/>
      <c r="I24" s="401">
        <f>SUM(I22:I23)</f>
        <v>657.32141422341192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77" t="s">
        <v>671</v>
      </c>
      <c r="B26" s="1477"/>
      <c r="C26" s="1477"/>
      <c r="D26" s="1477"/>
      <c r="E26" s="1477"/>
      <c r="F26" s="1477"/>
      <c r="G26" s="1477"/>
      <c r="H26" s="790"/>
      <c r="I26" s="790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212</v>
      </c>
      <c r="B28" s="1363" t="s">
        <v>672</v>
      </c>
      <c r="C28" s="1419"/>
      <c r="D28" s="1420"/>
      <c r="E28" s="179" t="s">
        <v>214</v>
      </c>
      <c r="F28" s="179" t="s">
        <v>673</v>
      </c>
      <c r="G28" s="478" t="s">
        <v>674</v>
      </c>
      <c r="H28" s="512"/>
      <c r="I28" s="513"/>
    </row>
    <row r="29" spans="1:9" x14ac:dyDescent="0.3">
      <c r="A29" s="514">
        <v>1</v>
      </c>
      <c r="B29" s="1478">
        <v>2</v>
      </c>
      <c r="C29" s="1402"/>
      <c r="D29" s="1402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79" t="s">
        <v>831</v>
      </c>
      <c r="C30" s="1419"/>
      <c r="D30" s="1420"/>
      <c r="E30" s="518" t="s">
        <v>177</v>
      </c>
      <c r="F30" s="519">
        <v>4905</v>
      </c>
      <c r="G30" s="520">
        <v>5285</v>
      </c>
      <c r="H30" s="521"/>
      <c r="I30" s="522"/>
    </row>
    <row r="31" spans="1:9" x14ac:dyDescent="0.3">
      <c r="A31" s="514">
        <v>2</v>
      </c>
      <c r="B31" s="1480" t="s">
        <v>982</v>
      </c>
      <c r="C31" s="1437"/>
      <c r="D31" s="1438"/>
      <c r="E31" s="523" t="s">
        <v>177</v>
      </c>
      <c r="F31" s="519">
        <v>3500</v>
      </c>
      <c r="G31" s="520">
        <v>2500</v>
      </c>
      <c r="H31" s="524"/>
      <c r="I31" s="525"/>
    </row>
    <row r="32" spans="1:9" x14ac:dyDescent="0.3">
      <c r="A32" s="526">
        <v>3</v>
      </c>
      <c r="B32" s="1481"/>
      <c r="C32" s="1464"/>
      <c r="D32" s="1465"/>
      <c r="E32" s="523" t="s">
        <v>177</v>
      </c>
      <c r="F32" s="519"/>
      <c r="G32" s="520"/>
      <c r="H32" s="524"/>
      <c r="I32" s="525"/>
    </row>
    <row r="33" spans="1:9" x14ac:dyDescent="0.3">
      <c r="A33" s="527"/>
      <c r="B33" s="1482" t="s">
        <v>218</v>
      </c>
      <c r="C33" s="1437"/>
      <c r="D33" s="1438"/>
      <c r="E33" s="528"/>
      <c r="F33" s="529">
        <f>SUM(F30:F32)</f>
        <v>8405</v>
      </c>
      <c r="G33" s="529">
        <f>SUM(G30:G32)</f>
        <v>7785</v>
      </c>
      <c r="H33" s="530"/>
      <c r="I33" s="531"/>
    </row>
  </sheetData>
  <mergeCells count="40"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" right="0.7" top="0.75" bottom="0.75" header="0.3" footer="0.3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28" workbookViewId="0">
      <selection activeCell="I12" sqref="I12:J12"/>
    </sheetView>
  </sheetViews>
  <sheetFormatPr defaultRowHeight="14.4" x14ac:dyDescent="0.3"/>
  <cols>
    <col min="1" max="1" width="6.88671875" customWidth="1"/>
    <col min="5" max="5" width="14.33203125" customWidth="1"/>
  </cols>
  <sheetData>
    <row r="1" spans="1:10" x14ac:dyDescent="0.3">
      <c r="A1" s="12" t="str">
        <f>прибирання!A1</f>
        <v>м. КанівМаршала Рибалки1</v>
      </c>
      <c r="G1" s="1177" t="s">
        <v>210</v>
      </c>
      <c r="H1" s="1177"/>
      <c r="I1" s="1177"/>
      <c r="J1" s="1177"/>
    </row>
    <row r="2" spans="1:10" x14ac:dyDescent="0.3">
      <c r="G2" s="1177" t="s">
        <v>104</v>
      </c>
      <c r="H2" s="1177"/>
      <c r="I2" s="1177"/>
      <c r="J2" s="1177"/>
    </row>
    <row r="3" spans="1:10" x14ac:dyDescent="0.3">
      <c r="G3" s="1181" t="s">
        <v>633</v>
      </c>
      <c r="H3" s="1181"/>
      <c r="I3" s="1181"/>
      <c r="J3" s="1181"/>
    </row>
    <row r="4" spans="1:10" x14ac:dyDescent="0.3">
      <c r="G4" s="247"/>
      <c r="H4" s="248"/>
      <c r="I4" s="1178" t="s">
        <v>292</v>
      </c>
      <c r="J4" s="1178"/>
    </row>
    <row r="6" spans="1:10" x14ac:dyDescent="0.3">
      <c r="A6" s="1179" t="s">
        <v>296</v>
      </c>
      <c r="B6" s="1179"/>
      <c r="C6" s="1179"/>
      <c r="D6" s="1179"/>
      <c r="E6" s="1179"/>
      <c r="F6" s="1179"/>
      <c r="G6" s="1179"/>
      <c r="H6" s="1179"/>
      <c r="I6" s="1179"/>
      <c r="J6" s="1179"/>
    </row>
    <row r="7" spans="1:10" x14ac:dyDescent="0.3">
      <c r="A7" s="1532" t="s">
        <v>692</v>
      </c>
      <c r="B7" s="1533"/>
      <c r="C7" s="1533"/>
      <c r="D7" s="1533"/>
      <c r="E7" s="1533"/>
      <c r="F7" s="1533"/>
      <c r="G7" s="1533"/>
      <c r="H7" s="1533"/>
      <c r="I7" s="1533"/>
      <c r="J7" s="1533"/>
    </row>
    <row r="8" spans="1:10" x14ac:dyDescent="0.3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3">
      <c r="A9" s="239" t="s">
        <v>693</v>
      </c>
    </row>
    <row r="10" spans="1:10" ht="26.4" x14ac:dyDescent="0.3">
      <c r="A10" s="179" t="s">
        <v>226</v>
      </c>
      <c r="B10" s="1172" t="s">
        <v>213</v>
      </c>
      <c r="C10" s="1488"/>
      <c r="D10" s="1488"/>
      <c r="E10" s="1488"/>
      <c r="F10" s="179" t="s">
        <v>214</v>
      </c>
      <c r="G10" s="1172" t="s">
        <v>215</v>
      </c>
      <c r="H10" s="1488"/>
      <c r="I10" s="1172" t="s">
        <v>500</v>
      </c>
      <c r="J10" s="1489"/>
    </row>
    <row r="11" spans="1:10" ht="18.600000000000001" customHeight="1" x14ac:dyDescent="0.3">
      <c r="A11" s="179">
        <v>1</v>
      </c>
      <c r="B11" s="1182" t="s">
        <v>694</v>
      </c>
      <c r="C11" s="779"/>
      <c r="D11" s="779"/>
      <c r="E11" s="779"/>
      <c r="F11" s="256" t="s">
        <v>177</v>
      </c>
      <c r="G11" s="1184">
        <f>I11*12</f>
        <v>0</v>
      </c>
      <c r="H11" s="1485"/>
      <c r="I11" s="1184">
        <f>I68</f>
        <v>0</v>
      </c>
      <c r="J11" s="1486"/>
    </row>
    <row r="12" spans="1:10" ht="38.4" customHeight="1" x14ac:dyDescent="0.3">
      <c r="A12" s="179">
        <v>2</v>
      </c>
      <c r="B12" s="1187" t="s">
        <v>300</v>
      </c>
      <c r="C12" s="1484"/>
      <c r="D12" s="1484"/>
      <c r="E12" s="1484"/>
      <c r="F12" s="256" t="s">
        <v>177</v>
      </c>
      <c r="G12" s="1184">
        <f>I12*12</f>
        <v>0</v>
      </c>
      <c r="H12" s="1485"/>
      <c r="I12" s="1184">
        <f>I11*розрахунок!D40/100</f>
        <v>0</v>
      </c>
      <c r="J12" s="1486"/>
    </row>
    <row r="13" spans="1:10" x14ac:dyDescent="0.3">
      <c r="A13" s="179">
        <v>3</v>
      </c>
      <c r="B13" s="1182" t="s">
        <v>499</v>
      </c>
      <c r="C13" s="1487"/>
      <c r="D13" s="1487"/>
      <c r="E13" s="1487"/>
      <c r="F13" s="256" t="s">
        <v>177</v>
      </c>
      <c r="G13" s="1184">
        <f>I13*12</f>
        <v>0</v>
      </c>
      <c r="H13" s="1485"/>
      <c r="I13" s="1184">
        <f>I75</f>
        <v>0</v>
      </c>
      <c r="J13" s="1486"/>
    </row>
    <row r="14" spans="1:10" x14ac:dyDescent="0.3">
      <c r="A14" s="179">
        <v>4</v>
      </c>
      <c r="B14" s="1182" t="s">
        <v>637</v>
      </c>
      <c r="C14" s="1487"/>
      <c r="D14" s="1487"/>
      <c r="E14" s="1487"/>
      <c r="F14" s="256" t="s">
        <v>177</v>
      </c>
      <c r="G14" s="1184">
        <f>I14*12</f>
        <v>0</v>
      </c>
      <c r="H14" s="1485"/>
      <c r="I14" s="1184">
        <f>інвентар!I9</f>
        <v>0</v>
      </c>
      <c r="J14" s="1486"/>
    </row>
    <row r="15" spans="1:10" x14ac:dyDescent="0.3">
      <c r="A15" s="179">
        <v>5</v>
      </c>
      <c r="B15" s="1182" t="s">
        <v>486</v>
      </c>
      <c r="C15" s="1487"/>
      <c r="D15" s="1487"/>
      <c r="E15" s="1487"/>
      <c r="F15" s="256" t="s">
        <v>177</v>
      </c>
      <c r="G15" s="1184">
        <f>I15*12</f>
        <v>0</v>
      </c>
      <c r="H15" s="1485"/>
      <c r="I15" s="1189">
        <v>0</v>
      </c>
      <c r="J15" s="1493"/>
    </row>
    <row r="16" spans="1:10" x14ac:dyDescent="0.3">
      <c r="A16" s="179">
        <v>6</v>
      </c>
      <c r="B16" s="1490" t="s">
        <v>664</v>
      </c>
      <c r="C16" s="1491"/>
      <c r="D16" s="1491"/>
      <c r="E16" s="1491"/>
      <c r="F16" s="179" t="s">
        <v>177</v>
      </c>
      <c r="G16" s="1193">
        <f>SUM(G11:G15)</f>
        <v>0</v>
      </c>
      <c r="H16" s="1194"/>
      <c r="I16" s="1198">
        <f>SUM(I11:I15)</f>
        <v>0</v>
      </c>
      <c r="J16" s="1492"/>
    </row>
    <row r="17" spans="1:10" ht="19.8" customHeight="1" x14ac:dyDescent="0.3">
      <c r="A17" s="179">
        <v>7</v>
      </c>
      <c r="B17" s="1504" t="s">
        <v>119</v>
      </c>
      <c r="C17" s="1505"/>
      <c r="D17" s="1505"/>
      <c r="E17" s="1506"/>
      <c r="F17" s="179" t="s">
        <v>219</v>
      </c>
      <c r="G17" s="1198">
        <f>[1]Расчет!D3</f>
        <v>2997.38</v>
      </c>
      <c r="H17" s="1497"/>
      <c r="I17" s="1498"/>
      <c r="J17" s="1499"/>
    </row>
    <row r="18" spans="1:10" x14ac:dyDescent="0.3">
      <c r="A18" s="533">
        <v>8</v>
      </c>
      <c r="B18" s="1191" t="s">
        <v>497</v>
      </c>
      <c r="C18" s="1173"/>
      <c r="D18" s="1173"/>
      <c r="E18" s="1173"/>
      <c r="F18" s="533" t="s">
        <v>177</v>
      </c>
      <c r="G18" s="1500">
        <f>I16/G17</f>
        <v>0</v>
      </c>
      <c r="H18" s="1501"/>
      <c r="I18" s="1502"/>
      <c r="J18" s="1503"/>
    </row>
    <row r="19" spans="1:10" x14ac:dyDescent="0.3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3">
      <c r="A20" s="1494" t="s">
        <v>678</v>
      </c>
      <c r="B20" s="1495"/>
      <c r="C20" s="1495"/>
      <c r="D20" s="1495"/>
      <c r="E20" s="1495"/>
      <c r="F20" s="1495"/>
      <c r="G20" s="1495"/>
      <c r="H20" s="1495"/>
      <c r="I20" s="1495"/>
      <c r="J20" s="1495"/>
    </row>
    <row r="21" spans="1:10" ht="55.2" customHeight="1" x14ac:dyDescent="0.3">
      <c r="A21" s="1206" t="s">
        <v>679</v>
      </c>
      <c r="B21" s="1496"/>
      <c r="C21" s="1496"/>
      <c r="D21" s="1496"/>
      <c r="E21" s="1496"/>
      <c r="F21" s="1496"/>
      <c r="G21" s="1496"/>
      <c r="H21" s="1496"/>
      <c r="I21" s="1496"/>
      <c r="J21" s="1496"/>
    </row>
    <row r="22" spans="1:10" ht="33.6" customHeight="1" x14ac:dyDescent="0.3">
      <c r="A22" s="1206" t="s">
        <v>503</v>
      </c>
      <c r="B22" s="1207"/>
      <c r="C22" s="1207"/>
      <c r="D22" s="1207"/>
      <c r="E22" s="1207"/>
      <c r="F22" s="1207"/>
      <c r="G22" s="1207"/>
      <c r="H22" s="1207"/>
      <c r="I22" s="1207"/>
      <c r="J22" s="1207"/>
    </row>
    <row r="23" spans="1:10" x14ac:dyDescent="0.3">
      <c r="A23" s="1222" t="s">
        <v>743</v>
      </c>
      <c r="B23" s="1223"/>
      <c r="C23" s="1223"/>
      <c r="D23" s="1223"/>
      <c r="E23" s="1224" t="s">
        <v>222</v>
      </c>
      <c r="F23" s="1224"/>
      <c r="G23" s="184">
        <f>розрахунок!D44</f>
        <v>250</v>
      </c>
      <c r="H23" s="1224" t="s">
        <v>223</v>
      </c>
      <c r="I23" s="1224"/>
      <c r="J23" s="184">
        <f>розрахунок!D46</f>
        <v>1993</v>
      </c>
    </row>
    <row r="24" spans="1:10" x14ac:dyDescent="0.3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3">
      <c r="A25" s="539" t="s">
        <v>224</v>
      </c>
      <c r="B25" s="1512" t="s">
        <v>225</v>
      </c>
      <c r="C25" s="1512"/>
      <c r="D25" s="1512"/>
      <c r="E25" s="1512"/>
      <c r="F25" s="1512"/>
      <c r="G25" s="187"/>
      <c r="H25" s="187"/>
      <c r="I25" s="187"/>
      <c r="J25" s="187"/>
    </row>
    <row r="26" spans="1:10" ht="91.8" x14ac:dyDescent="0.3">
      <c r="A26" s="188" t="s">
        <v>226</v>
      </c>
      <c r="B26" s="1226" t="s">
        <v>227</v>
      </c>
      <c r="C26" s="1227"/>
      <c r="D26" s="189" t="s">
        <v>680</v>
      </c>
      <c r="E26" s="190" t="s">
        <v>229</v>
      </c>
      <c r="F26" s="1228" t="s">
        <v>681</v>
      </c>
      <c r="G26" s="1227"/>
      <c r="H26" s="191" t="s">
        <v>682</v>
      </c>
      <c r="I26" s="192" t="s">
        <v>232</v>
      </c>
      <c r="J26" s="192" t="s">
        <v>233</v>
      </c>
    </row>
    <row r="27" spans="1:10" x14ac:dyDescent="0.3">
      <c r="A27" s="226">
        <v>1</v>
      </c>
      <c r="B27" s="1513">
        <v>2</v>
      </c>
      <c r="C27" s="1231"/>
      <c r="D27" s="228">
        <v>3</v>
      </c>
      <c r="E27" s="228">
        <v>4</v>
      </c>
      <c r="F27" s="1514">
        <v>5</v>
      </c>
      <c r="G27" s="840"/>
      <c r="H27" s="228">
        <v>6</v>
      </c>
      <c r="I27" s="228">
        <v>7</v>
      </c>
      <c r="J27" s="540">
        <v>8</v>
      </c>
    </row>
    <row r="28" spans="1:10" ht="36.6" customHeight="1" x14ac:dyDescent="0.3">
      <c r="A28" s="541">
        <v>1</v>
      </c>
      <c r="B28" s="1238" t="s">
        <v>400</v>
      </c>
      <c r="C28" s="1511"/>
      <c r="D28" s="542"/>
      <c r="E28" s="197">
        <f>G23</f>
        <v>250</v>
      </c>
      <c r="F28" s="1508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47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2" customHeight="1" x14ac:dyDescent="0.3">
      <c r="A29" s="208" t="s">
        <v>98</v>
      </c>
      <c r="B29" s="1238" t="s">
        <v>683</v>
      </c>
      <c r="C29" s="1507"/>
      <c r="D29" s="542"/>
      <c r="E29" s="197">
        <v>156</v>
      </c>
      <c r="F29" s="1508">
        <f>IF([1]Таблица_Характеристика!$N$31&lt;=0.2,0.41,0.55)</f>
        <v>0.41</v>
      </c>
      <c r="G29" s="1509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3">
      <c r="A30" s="208" t="s">
        <v>236</v>
      </c>
      <c r="B30" s="1518" t="s">
        <v>404</v>
      </c>
      <c r="C30" s="1534"/>
      <c r="D30" s="1534"/>
      <c r="E30" s="1534"/>
      <c r="F30" s="1534"/>
      <c r="G30" s="1535"/>
      <c r="H30" s="1510"/>
      <c r="I30" s="1253"/>
      <c r="J30" s="543"/>
    </row>
    <row r="31" spans="1:10" ht="27.6" customHeight="1" x14ac:dyDescent="0.3">
      <c r="A31" s="541"/>
      <c r="B31" s="1238" t="s">
        <v>405</v>
      </c>
      <c r="C31" s="1511"/>
      <c r="D31" s="542"/>
      <c r="E31" s="197">
        <v>2</v>
      </c>
      <c r="F31" s="1508">
        <v>2.66</v>
      </c>
      <c r="G31" s="1311"/>
      <c r="H31" s="196">
        <f>D31/100*F31*E31</f>
        <v>0</v>
      </c>
      <c r="I31" s="198">
        <v>60</v>
      </c>
      <c r="J31" s="543" t="s">
        <v>406</v>
      </c>
    </row>
    <row r="32" spans="1:10" ht="26.4" customHeight="1" x14ac:dyDescent="0.3">
      <c r="A32" s="541"/>
      <c r="B32" s="1238" t="s">
        <v>407</v>
      </c>
      <c r="C32" s="1511"/>
      <c r="D32" s="542"/>
      <c r="E32" s="197">
        <v>2</v>
      </c>
      <c r="F32" s="1508">
        <v>3.21</v>
      </c>
      <c r="G32" s="1311"/>
      <c r="H32" s="196">
        <f t="shared" ref="H32:H37" si="0">D32/100*F32*E32</f>
        <v>0</v>
      </c>
      <c r="I32" s="198">
        <v>60</v>
      </c>
      <c r="J32" s="543" t="s">
        <v>408</v>
      </c>
    </row>
    <row r="33" spans="1:10" ht="31.8" customHeight="1" x14ac:dyDescent="0.3">
      <c r="A33" s="541"/>
      <c r="B33" s="1238" t="s">
        <v>409</v>
      </c>
      <c r="C33" s="1511"/>
      <c r="D33" s="542"/>
      <c r="E33" s="197">
        <v>2</v>
      </c>
      <c r="F33" s="1508">
        <v>3.32</v>
      </c>
      <c r="G33" s="1311"/>
      <c r="H33" s="196">
        <f t="shared" si="0"/>
        <v>0</v>
      </c>
      <c r="I33" s="198">
        <v>60</v>
      </c>
      <c r="J33" s="543" t="s">
        <v>410</v>
      </c>
    </row>
    <row r="34" spans="1:10" ht="15" customHeight="1" x14ac:dyDescent="0.3">
      <c r="A34" s="541"/>
      <c r="B34" s="1238" t="s">
        <v>411</v>
      </c>
      <c r="C34" s="1511"/>
      <c r="D34" s="542"/>
      <c r="E34" s="197">
        <v>2</v>
      </c>
      <c r="F34" s="1508">
        <v>4.42</v>
      </c>
      <c r="G34" s="1311"/>
      <c r="H34" s="196">
        <f t="shared" si="0"/>
        <v>0</v>
      </c>
      <c r="I34" s="198">
        <v>60</v>
      </c>
      <c r="J34" s="543" t="s">
        <v>412</v>
      </c>
    </row>
    <row r="35" spans="1:10" ht="29.4" customHeight="1" x14ac:dyDescent="0.3">
      <c r="A35" s="541"/>
      <c r="B35" s="1238" t="s">
        <v>413</v>
      </c>
      <c r="C35" s="1511"/>
      <c r="D35" s="542">
        <f>[1]Таблица_Характеристика!L37*[1]Таблица_Характеристика!H37</f>
        <v>0</v>
      </c>
      <c r="E35" s="197">
        <v>2</v>
      </c>
      <c r="F35" s="1508">
        <v>2.4300000000000002</v>
      </c>
      <c r="G35" s="1311"/>
      <c r="H35" s="196">
        <f t="shared" si="0"/>
        <v>0</v>
      </c>
      <c r="I35" s="198">
        <v>60</v>
      </c>
      <c r="J35" s="543" t="s">
        <v>414</v>
      </c>
    </row>
    <row r="36" spans="1:10" ht="35.4" customHeight="1" x14ac:dyDescent="0.3">
      <c r="A36" s="541"/>
      <c r="B36" s="1238" t="s">
        <v>415</v>
      </c>
      <c r="C36" s="1511"/>
      <c r="D36" s="542">
        <f>[1]Таблица_Характеристика!L38*[1]Таблица_Характеристика!H38</f>
        <v>0</v>
      </c>
      <c r="E36" s="197">
        <v>2</v>
      </c>
      <c r="F36" s="1508">
        <v>3.16</v>
      </c>
      <c r="G36" s="1311"/>
      <c r="H36" s="196">
        <f t="shared" si="0"/>
        <v>0</v>
      </c>
      <c r="I36" s="198">
        <v>60</v>
      </c>
      <c r="J36" s="543" t="s">
        <v>416</v>
      </c>
    </row>
    <row r="37" spans="1:10" ht="39" customHeight="1" x14ac:dyDescent="0.3">
      <c r="A37" s="541"/>
      <c r="B37" s="1238" t="s">
        <v>417</v>
      </c>
      <c r="C37" s="1511"/>
      <c r="D37" s="542">
        <f>[1]Таблица_Характеристика!L39*[1]Таблица_Характеристика!H39</f>
        <v>0</v>
      </c>
      <c r="E37" s="197">
        <v>2</v>
      </c>
      <c r="F37" s="1508">
        <v>3.67</v>
      </c>
      <c r="G37" s="1311"/>
      <c r="H37" s="196">
        <f t="shared" si="0"/>
        <v>0</v>
      </c>
      <c r="I37" s="198">
        <v>60</v>
      </c>
      <c r="J37" s="543" t="s">
        <v>418</v>
      </c>
    </row>
    <row r="38" spans="1:10" ht="33.6" customHeight="1" x14ac:dyDescent="0.3">
      <c r="A38" s="208" t="s">
        <v>240</v>
      </c>
      <c r="B38" s="1208" t="s">
        <v>419</v>
      </c>
      <c r="C38" s="1515"/>
      <c r="D38" s="542"/>
      <c r="E38" s="197"/>
      <c r="F38" s="1508"/>
      <c r="G38" s="1311"/>
      <c r="H38" s="1510"/>
      <c r="I38" s="1253"/>
      <c r="J38" s="543"/>
    </row>
    <row r="39" spans="1:10" ht="35.4" customHeight="1" x14ac:dyDescent="0.3">
      <c r="A39" s="541"/>
      <c r="B39" s="1238" t="s">
        <v>405</v>
      </c>
      <c r="C39" s="1511"/>
      <c r="D39" s="542"/>
      <c r="E39" s="197">
        <v>2</v>
      </c>
      <c r="F39" s="1508">
        <v>3.48</v>
      </c>
      <c r="G39" s="1311"/>
      <c r="H39" s="196">
        <f>D39/100*F39*E39</f>
        <v>0</v>
      </c>
      <c r="I39" s="198">
        <v>61</v>
      </c>
      <c r="J39" s="543" t="s">
        <v>420</v>
      </c>
    </row>
    <row r="40" spans="1:10" ht="36.6" customHeight="1" x14ac:dyDescent="0.3">
      <c r="A40" s="541"/>
      <c r="B40" s="1238" t="s">
        <v>407</v>
      </c>
      <c r="C40" s="1511"/>
      <c r="D40" s="542">
        <f>[1]Таблица_Характеристика!M34*[1]Таблица_Характеристика!H34</f>
        <v>0</v>
      </c>
      <c r="E40" s="197">
        <v>2</v>
      </c>
      <c r="F40" s="1508">
        <v>4.05</v>
      </c>
      <c r="G40" s="1311"/>
      <c r="H40" s="196">
        <f t="shared" ref="H40:H45" si="1">D40/100*F40*E40</f>
        <v>0</v>
      </c>
      <c r="I40" s="198">
        <v>61</v>
      </c>
      <c r="J40" s="543" t="s">
        <v>421</v>
      </c>
    </row>
    <row r="41" spans="1:10" ht="28.8" customHeight="1" x14ac:dyDescent="0.3">
      <c r="A41" s="541"/>
      <c r="B41" s="1238" t="s">
        <v>409</v>
      </c>
      <c r="C41" s="1511"/>
      <c r="D41" s="542">
        <f>[1]Таблица_Характеристика!M35*[1]Таблица_Характеристика!H35</f>
        <v>0</v>
      </c>
      <c r="E41" s="197">
        <v>2</v>
      </c>
      <c r="F41" s="1508">
        <v>4.93</v>
      </c>
      <c r="G41" s="1311"/>
      <c r="H41" s="196">
        <f t="shared" si="1"/>
        <v>0</v>
      </c>
      <c r="I41" s="198">
        <v>61</v>
      </c>
      <c r="J41" s="543" t="s">
        <v>422</v>
      </c>
    </row>
    <row r="42" spans="1:10" ht="26.4" customHeight="1" x14ac:dyDescent="0.3">
      <c r="A42" s="541"/>
      <c r="B42" s="1238" t="s">
        <v>411</v>
      </c>
      <c r="C42" s="1511"/>
      <c r="D42" s="542">
        <f>[1]Таблица_Характеристика!M36*[1]Таблица_Характеристика!H36</f>
        <v>0</v>
      </c>
      <c r="E42" s="197">
        <v>2</v>
      </c>
      <c r="F42" s="1508">
        <v>5.81</v>
      </c>
      <c r="G42" s="1311"/>
      <c r="H42" s="196">
        <f t="shared" si="1"/>
        <v>0</v>
      </c>
      <c r="I42" s="198">
        <v>61</v>
      </c>
      <c r="J42" s="543" t="s">
        <v>423</v>
      </c>
    </row>
    <row r="43" spans="1:10" ht="31.2" customHeight="1" x14ac:dyDescent="0.3">
      <c r="A43" s="541"/>
      <c r="B43" s="1238" t="s">
        <v>413</v>
      </c>
      <c r="C43" s="1511"/>
      <c r="D43" s="542">
        <f>[1]Таблица_Характеристика!M37*[1]Таблица_Характеристика!H37</f>
        <v>0</v>
      </c>
      <c r="E43" s="197">
        <v>2</v>
      </c>
      <c r="F43" s="1508">
        <v>3.29</v>
      </c>
      <c r="G43" s="1311"/>
      <c r="H43" s="196">
        <f t="shared" si="1"/>
        <v>0</v>
      </c>
      <c r="I43" s="198">
        <v>61</v>
      </c>
      <c r="J43" s="543" t="s">
        <v>424</v>
      </c>
    </row>
    <row r="44" spans="1:10" ht="26.4" customHeight="1" x14ac:dyDescent="0.3">
      <c r="A44" s="541"/>
      <c r="B44" s="1238" t="s">
        <v>415</v>
      </c>
      <c r="C44" s="1511"/>
      <c r="D44" s="542">
        <f>[1]Таблица_Характеристика!M38*[1]Таблица_Характеристика!H38</f>
        <v>0</v>
      </c>
      <c r="E44" s="197">
        <v>2</v>
      </c>
      <c r="F44" s="1508">
        <v>4.01</v>
      </c>
      <c r="G44" s="1311"/>
      <c r="H44" s="196">
        <f t="shared" si="1"/>
        <v>0</v>
      </c>
      <c r="I44" s="198">
        <v>61</v>
      </c>
      <c r="J44" s="543" t="s">
        <v>425</v>
      </c>
    </row>
    <row r="45" spans="1:10" ht="34.200000000000003" customHeight="1" x14ac:dyDescent="0.3">
      <c r="A45" s="541"/>
      <c r="B45" s="1238" t="s">
        <v>417</v>
      </c>
      <c r="C45" s="1511"/>
      <c r="D45" s="542">
        <f>[1]Таблица_Характеристика!M39*[1]Таблица_Характеристика!H39</f>
        <v>0</v>
      </c>
      <c r="E45" s="197">
        <v>2</v>
      </c>
      <c r="F45" s="1508">
        <v>4.7</v>
      </c>
      <c r="G45" s="1311"/>
      <c r="H45" s="196">
        <f t="shared" si="1"/>
        <v>0</v>
      </c>
      <c r="I45" s="198">
        <v>61</v>
      </c>
      <c r="J45" s="543" t="s">
        <v>426</v>
      </c>
    </row>
    <row r="46" spans="1:10" ht="43.8" customHeight="1" x14ac:dyDescent="0.3">
      <c r="A46" s="208" t="s">
        <v>241</v>
      </c>
      <c r="B46" s="1518" t="s">
        <v>427</v>
      </c>
      <c r="C46" s="1519"/>
      <c r="D46" s="544">
        <f>[1]Таблица_Характеристика!C41</f>
        <v>0</v>
      </c>
      <c r="E46" s="545">
        <v>24</v>
      </c>
      <c r="F46" s="1516">
        <v>0.92</v>
      </c>
      <c r="G46" s="1520"/>
      <c r="H46" s="200">
        <f>D46/100*F46*E46</f>
        <v>0</v>
      </c>
      <c r="I46" s="201">
        <v>62</v>
      </c>
      <c r="J46" s="546" t="s">
        <v>428</v>
      </c>
    </row>
    <row r="47" spans="1:10" x14ac:dyDescent="0.3">
      <c r="A47" s="208" t="s">
        <v>256</v>
      </c>
      <c r="B47" s="1208" t="s">
        <v>429</v>
      </c>
      <c r="C47" s="1515"/>
      <c r="D47" s="544"/>
      <c r="E47" s="545"/>
      <c r="F47" s="1516"/>
      <c r="G47" s="1517"/>
      <c r="H47" s="200"/>
      <c r="I47" s="201" t="s">
        <v>684</v>
      </c>
      <c r="J47" s="546"/>
    </row>
    <row r="48" spans="1:10" x14ac:dyDescent="0.3">
      <c r="A48" s="541" t="s">
        <v>236</v>
      </c>
      <c r="B48" s="1238" t="s">
        <v>430</v>
      </c>
      <c r="C48" s="1511"/>
      <c r="D48" s="542">
        <f>[1]Таблица_Характеристика!G41</f>
        <v>0</v>
      </c>
      <c r="E48" s="197">
        <v>12</v>
      </c>
      <c r="F48" s="1508">
        <v>1.47</v>
      </c>
      <c r="G48" s="1247"/>
      <c r="H48" s="196">
        <f t="shared" ref="H48:H55" si="2">D48/100*F48*E48</f>
        <v>0</v>
      </c>
      <c r="I48" s="198">
        <v>63</v>
      </c>
      <c r="J48" s="543" t="s">
        <v>431</v>
      </c>
    </row>
    <row r="49" spans="1:10" x14ac:dyDescent="0.3">
      <c r="A49" s="541"/>
      <c r="B49" s="1238" t="s">
        <v>432</v>
      </c>
      <c r="C49" s="1511"/>
      <c r="D49" s="542">
        <f>[1]Таблица_Характеристика!J41</f>
        <v>0</v>
      </c>
      <c r="E49" s="197">
        <v>12</v>
      </c>
      <c r="F49" s="1508">
        <v>2.25</v>
      </c>
      <c r="G49" s="1247"/>
      <c r="H49" s="196">
        <f t="shared" si="2"/>
        <v>0</v>
      </c>
      <c r="I49" s="198">
        <v>63</v>
      </c>
      <c r="J49" s="543" t="s">
        <v>433</v>
      </c>
    </row>
    <row r="50" spans="1:10" x14ac:dyDescent="0.3">
      <c r="A50" s="541"/>
      <c r="B50" s="1238" t="s">
        <v>434</v>
      </c>
      <c r="C50" s="1511"/>
      <c r="D50" s="542">
        <f>[1]Таблица_Характеристика!N41</f>
        <v>0</v>
      </c>
      <c r="E50" s="197">
        <v>12</v>
      </c>
      <c r="F50" s="1508">
        <v>2</v>
      </c>
      <c r="G50" s="1247"/>
      <c r="H50" s="196">
        <f t="shared" si="2"/>
        <v>0</v>
      </c>
      <c r="I50" s="198">
        <v>63</v>
      </c>
      <c r="J50" s="543" t="s">
        <v>435</v>
      </c>
    </row>
    <row r="51" spans="1:10" ht="26.4" customHeight="1" x14ac:dyDescent="0.3">
      <c r="A51" s="541"/>
      <c r="B51" s="1238" t="s">
        <v>436</v>
      </c>
      <c r="C51" s="1511"/>
      <c r="D51" s="542"/>
      <c r="E51" s="197">
        <v>12</v>
      </c>
      <c r="F51" s="1508">
        <v>2.0299999999999998</v>
      </c>
      <c r="G51" s="1311"/>
      <c r="H51" s="196">
        <f t="shared" si="2"/>
        <v>0</v>
      </c>
      <c r="I51" s="198">
        <v>64</v>
      </c>
      <c r="J51" s="543" t="s">
        <v>437</v>
      </c>
    </row>
    <row r="52" spans="1:10" ht="19.2" customHeight="1" x14ac:dyDescent="0.3">
      <c r="A52" s="541"/>
      <c r="B52" s="1238" t="s">
        <v>438</v>
      </c>
      <c r="C52" s="1511"/>
      <c r="D52" s="542"/>
      <c r="E52" s="197">
        <v>12</v>
      </c>
      <c r="F52" s="1508">
        <v>1.66</v>
      </c>
      <c r="G52" s="1311"/>
      <c r="H52" s="196">
        <f t="shared" si="2"/>
        <v>0</v>
      </c>
      <c r="I52" s="198">
        <v>64</v>
      </c>
      <c r="J52" s="543" t="s">
        <v>439</v>
      </c>
    </row>
    <row r="53" spans="1:10" ht="27.6" customHeight="1" x14ac:dyDescent="0.3">
      <c r="A53" s="541"/>
      <c r="B53" s="1238" t="s">
        <v>440</v>
      </c>
      <c r="C53" s="1511"/>
      <c r="D53" s="542">
        <f>[1]Таблица_Характеристика!N42</f>
        <v>0</v>
      </c>
      <c r="E53" s="197">
        <v>12</v>
      </c>
      <c r="F53" s="1508">
        <v>3.1</v>
      </c>
      <c r="G53" s="1247"/>
      <c r="H53" s="196">
        <f t="shared" si="2"/>
        <v>0</v>
      </c>
      <c r="I53" s="198">
        <v>64</v>
      </c>
      <c r="J53" s="543" t="s">
        <v>441</v>
      </c>
    </row>
    <row r="54" spans="1:10" ht="29.4" customHeight="1" x14ac:dyDescent="0.3">
      <c r="A54" s="547"/>
      <c r="B54" s="1234" t="s">
        <v>442</v>
      </c>
      <c r="C54" s="1521"/>
      <c r="D54" s="196">
        <f>[1]Таблица_Характеристика!C43</f>
        <v>0</v>
      </c>
      <c r="E54" s="197">
        <v>12</v>
      </c>
      <c r="F54" s="1213">
        <v>2.76</v>
      </c>
      <c r="G54" s="1311"/>
      <c r="H54" s="196">
        <f t="shared" si="2"/>
        <v>0</v>
      </c>
      <c r="I54" s="198">
        <v>65</v>
      </c>
      <c r="J54" s="548" t="s">
        <v>443</v>
      </c>
    </row>
    <row r="55" spans="1:10" ht="48.6" customHeight="1" x14ac:dyDescent="0.3">
      <c r="A55" s="547"/>
      <c r="B55" s="1234" t="s">
        <v>444</v>
      </c>
      <c r="C55" s="1511"/>
      <c r="D55" s="196">
        <f>[1]Таблица_Характеристика!L43</f>
        <v>0</v>
      </c>
      <c r="E55" s="197">
        <v>12</v>
      </c>
      <c r="F55" s="1213">
        <v>1.3</v>
      </c>
      <c r="G55" s="1311"/>
      <c r="H55" s="196">
        <f t="shared" si="2"/>
        <v>0</v>
      </c>
      <c r="I55" s="198">
        <v>65</v>
      </c>
      <c r="J55" s="548" t="s">
        <v>445</v>
      </c>
    </row>
    <row r="56" spans="1:10" ht="29.4" customHeight="1" x14ac:dyDescent="0.3">
      <c r="A56" s="547"/>
      <c r="B56" s="1234" t="s">
        <v>446</v>
      </c>
      <c r="C56" s="1521"/>
      <c r="D56" s="231">
        <f>[1]Таблица_Характеристика!N43</f>
        <v>0</v>
      </c>
      <c r="E56" s="197">
        <v>12</v>
      </c>
      <c r="F56" s="1213">
        <v>7.0000000000000007E-2</v>
      </c>
      <c r="G56" s="1311"/>
      <c r="H56" s="196">
        <f>D56/10*F56*E56</f>
        <v>0</v>
      </c>
      <c r="I56" s="198">
        <v>66</v>
      </c>
      <c r="J56" s="548" t="s">
        <v>447</v>
      </c>
    </row>
    <row r="57" spans="1:10" ht="42.6" customHeight="1" x14ac:dyDescent="0.3">
      <c r="A57" s="549" t="s">
        <v>236</v>
      </c>
      <c r="B57" s="1524" t="s">
        <v>448</v>
      </c>
      <c r="C57" s="1525"/>
      <c r="D57" s="196">
        <v>0</v>
      </c>
      <c r="E57" s="197">
        <f>G23</f>
        <v>250</v>
      </c>
      <c r="F57" s="1213">
        <f>IF([1]Расчет!D29=0,0.74,IF([1]Расчет!D29=1,1.11,IF([1]Расчет!D29=2,1.06,1.25)))</f>
        <v>1.25</v>
      </c>
      <c r="G57" s="1214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200000000000003" customHeight="1" x14ac:dyDescent="0.3">
      <c r="A58" s="549" t="s">
        <v>240</v>
      </c>
      <c r="B58" s="1524" t="s">
        <v>449</v>
      </c>
      <c r="C58" s="1525"/>
      <c r="D58" s="196"/>
      <c r="E58" s="197">
        <v>156</v>
      </c>
      <c r="F58" s="1213">
        <f>IF([1]Расчет!D29=0,0.55,IF([1]Расчет!D29=1,0.93,IF([1]Расчет!D29=2,0.79,0.93)))</f>
        <v>0.93</v>
      </c>
      <c r="G58" s="1214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3">
      <c r="A59" s="549" t="s">
        <v>240</v>
      </c>
      <c r="B59" s="1238" t="s">
        <v>450</v>
      </c>
      <c r="C59" s="1523"/>
      <c r="D59" s="196">
        <f>[1]Таблица_Характеристика!N59</f>
        <v>0</v>
      </c>
      <c r="E59" s="197">
        <f>G23</f>
        <v>250</v>
      </c>
      <c r="F59" s="1213">
        <f>IF([1]Расчет!D29=1,1.66,(IF([1]Расчет!D29=3,1.7,0)))</f>
        <v>0</v>
      </c>
      <c r="G59" s="1214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" customHeight="1" x14ac:dyDescent="0.3">
      <c r="A60" s="550" t="s">
        <v>241</v>
      </c>
      <c r="B60" s="1234" t="s">
        <v>451</v>
      </c>
      <c r="C60" s="1523"/>
      <c r="D60" s="196">
        <v>0</v>
      </c>
      <c r="E60" s="197">
        <v>24</v>
      </c>
      <c r="F60" s="1213">
        <f>IF([1]Расчет!D29=0,2.21,IF([1]Расчет!D29=1,2.6,IF([1]Расчет!D29=2,2.35,2.65)))</f>
        <v>2.65</v>
      </c>
      <c r="G60" s="1214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3">
      <c r="A61" s="550" t="s">
        <v>256</v>
      </c>
      <c r="B61" s="1234" t="s">
        <v>452</v>
      </c>
      <c r="C61" s="1523"/>
      <c r="D61" s="196">
        <v>0</v>
      </c>
      <c r="E61" s="197">
        <v>24</v>
      </c>
      <c r="F61" s="1213">
        <f>IF([1]Расчет!D29=0,2.1,IF([1]Расчет!D29=1,2.5,IF([1]Расчет!D29=2,2.25,2.55)))</f>
        <v>2.5499999999999998</v>
      </c>
      <c r="G61" s="1214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3">
      <c r="A62" s="214"/>
      <c r="B62" s="1248" t="s">
        <v>262</v>
      </c>
      <c r="C62" s="1522"/>
      <c r="D62" s="551"/>
      <c r="E62" s="216"/>
      <c r="F62" s="846"/>
      <c r="G62" s="846"/>
      <c r="H62" s="217">
        <f>SUM(H28:H61)</f>
        <v>0</v>
      </c>
      <c r="I62" s="218"/>
      <c r="J62" s="219"/>
    </row>
    <row r="63" spans="1:10" x14ac:dyDescent="0.3">
      <c r="A63" s="1526" t="s">
        <v>464</v>
      </c>
      <c r="B63" s="1526"/>
      <c r="C63" s="1526"/>
      <c r="D63" s="1526"/>
      <c r="E63" s="1526"/>
      <c r="F63" s="1526"/>
      <c r="G63" s="1526"/>
      <c r="H63" s="1526"/>
      <c r="I63" s="1526"/>
      <c r="J63" s="1526"/>
    </row>
    <row r="64" spans="1:10" x14ac:dyDescent="0.3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3">
      <c r="A65" s="1527" t="s">
        <v>685</v>
      </c>
      <c r="B65" s="1528"/>
      <c r="C65" s="1528"/>
      <c r="D65" s="1528"/>
      <c r="E65" s="1528"/>
      <c r="F65" s="1528"/>
      <c r="G65" s="1528"/>
      <c r="H65" s="1528"/>
      <c r="I65" s="1528"/>
      <c r="J65" s="1528"/>
    </row>
    <row r="66" spans="1:10" ht="84" x14ac:dyDescent="0.3">
      <c r="A66" s="1529" t="s">
        <v>186</v>
      </c>
      <c r="B66" s="1231"/>
      <c r="C66" s="224" t="s">
        <v>265</v>
      </c>
      <c r="D66" s="225" t="s">
        <v>266</v>
      </c>
      <c r="E66" s="226" t="s">
        <v>267</v>
      </c>
      <c r="F66" s="227" t="s">
        <v>686</v>
      </c>
      <c r="G66" s="227" t="s">
        <v>687</v>
      </c>
      <c r="H66" s="226" t="s">
        <v>270</v>
      </c>
      <c r="I66" s="1232" t="s">
        <v>688</v>
      </c>
      <c r="J66" s="1233"/>
    </row>
    <row r="67" spans="1:10" x14ac:dyDescent="0.3">
      <c r="A67" s="1530">
        <v>1</v>
      </c>
      <c r="B67" s="1216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531">
        <v>7</v>
      </c>
      <c r="J67" s="807"/>
    </row>
    <row r="68" spans="1:10" x14ac:dyDescent="0.3">
      <c r="A68" s="1280" t="s">
        <v>193</v>
      </c>
      <c r="B68" s="744"/>
      <c r="C68" s="230">
        <f>H62</f>
        <v>0</v>
      </c>
      <c r="D68" s="196">
        <f>J23</f>
        <v>1993</v>
      </c>
      <c r="E68" s="196">
        <f>ROUND(C68/D68,2)</f>
        <v>0</v>
      </c>
      <c r="F68" s="196">
        <f>оклади!K7</f>
        <v>4173</v>
      </c>
      <c r="G68" s="203">
        <f>E68*F68</f>
        <v>0</v>
      </c>
      <c r="H68" s="196">
        <v>0</v>
      </c>
      <c r="I68" s="1246">
        <f>G68*1.09+H68</f>
        <v>0</v>
      </c>
      <c r="J68" s="1311"/>
    </row>
    <row r="69" spans="1:10" x14ac:dyDescent="0.3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3">
      <c r="A70" s="1255" t="s">
        <v>620</v>
      </c>
      <c r="B70" s="1255"/>
      <c r="C70" s="1255"/>
      <c r="D70" s="1255"/>
      <c r="E70" s="1255"/>
      <c r="F70" s="1255"/>
      <c r="G70" s="1255"/>
      <c r="H70" s="1255"/>
      <c r="I70" s="1255"/>
      <c r="J70" s="1255"/>
    </row>
    <row r="71" spans="1:10" ht="83.4" x14ac:dyDescent="0.3">
      <c r="A71" s="1257" t="s">
        <v>273</v>
      </c>
      <c r="B71" s="1258"/>
      <c r="C71" s="226" t="s">
        <v>274</v>
      </c>
      <c r="D71" s="226" t="s">
        <v>275</v>
      </c>
      <c r="E71" s="1257" t="s">
        <v>689</v>
      </c>
      <c r="F71" s="1259"/>
      <c r="G71" s="1257" t="s">
        <v>690</v>
      </c>
      <c r="H71" s="744"/>
      <c r="I71" s="1257" t="s">
        <v>691</v>
      </c>
      <c r="J71" s="744"/>
    </row>
    <row r="72" spans="1:10" x14ac:dyDescent="0.3">
      <c r="A72" s="1257">
        <v>1</v>
      </c>
      <c r="B72" s="1258"/>
      <c r="C72" s="226">
        <v>2</v>
      </c>
      <c r="D72" s="226">
        <v>3</v>
      </c>
      <c r="E72" s="1257">
        <v>4</v>
      </c>
      <c r="F72" s="1259"/>
      <c r="G72" s="1257">
        <v>5</v>
      </c>
      <c r="H72" s="744"/>
      <c r="I72" s="1257">
        <v>6</v>
      </c>
      <c r="J72" s="744"/>
    </row>
    <row r="73" spans="1:10" ht="25.2" customHeight="1" x14ac:dyDescent="0.3">
      <c r="A73" s="1280" t="s">
        <v>279</v>
      </c>
      <c r="B73" s="1280"/>
      <c r="C73" s="399">
        <f>прибирання!C49</f>
        <v>1782768</v>
      </c>
      <c r="D73" s="238">
        <f>прибирання!D49</f>
        <v>4193729</v>
      </c>
      <c r="E73" s="1260">
        <f>C73/D73*100</f>
        <v>42.51032911282536</v>
      </c>
      <c r="F73" s="847"/>
      <c r="G73" s="1261">
        <f>I68</f>
        <v>0</v>
      </c>
      <c r="H73" s="744"/>
      <c r="I73" s="1261">
        <f>E73*G73/100</f>
        <v>0</v>
      </c>
      <c r="J73" s="744"/>
    </row>
    <row r="74" spans="1:10" ht="26.4" customHeight="1" x14ac:dyDescent="0.3">
      <c r="A74" s="1280" t="s">
        <v>280</v>
      </c>
      <c r="B74" s="1280"/>
      <c r="C74" s="399">
        <f>прибирання!C50</f>
        <v>2914645</v>
      </c>
      <c r="D74" s="238">
        <f>прибирання!D50</f>
        <v>14598843</v>
      </c>
      <c r="E74" s="1260">
        <f>C74/D74*100</f>
        <v>19.964904068082657</v>
      </c>
      <c r="F74" s="847"/>
      <c r="G74" s="1261">
        <f>I11+I12+I14+I15+I73</f>
        <v>0</v>
      </c>
      <c r="H74" s="744"/>
      <c r="I74" s="1261">
        <f>E74*G74/100</f>
        <v>0</v>
      </c>
      <c r="J74" s="744"/>
    </row>
    <row r="75" spans="1:10" ht="35.4" customHeight="1" x14ac:dyDescent="0.3">
      <c r="A75" s="1282" t="s">
        <v>281</v>
      </c>
      <c r="B75" s="1282"/>
      <c r="C75" s="400"/>
      <c r="D75" s="401"/>
      <c r="E75" s="1266"/>
      <c r="F75" s="847"/>
      <c r="G75" s="1267"/>
      <c r="H75" s="744"/>
      <c r="I75" s="1267">
        <f>SUM(I73:I74)</f>
        <v>0</v>
      </c>
      <c r="J75" s="744"/>
    </row>
    <row r="76" spans="1:10" x14ac:dyDescent="0.3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3">
      <c r="A77" s="1264">
        <f>[1]прибир.прибуд!A81</f>
        <v>0</v>
      </c>
      <c r="B77" s="1264"/>
      <c r="C77" s="1264"/>
      <c r="D77" s="1264"/>
      <c r="E77" s="1264"/>
      <c r="F77" s="1264"/>
      <c r="G77" s="1264"/>
      <c r="H77" s="1264"/>
      <c r="I77" s="1264"/>
      <c r="J77" s="1264"/>
    </row>
  </sheetData>
  <mergeCells count="143"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topLeftCell="A51" zoomScaleNormal="100" workbookViewId="0">
      <selection activeCell="G22" sqref="G22:H22"/>
    </sheetView>
  </sheetViews>
  <sheetFormatPr defaultRowHeight="14.4" x14ac:dyDescent="0.3"/>
  <cols>
    <col min="3" max="3" width="9.6640625" customWidth="1"/>
  </cols>
  <sheetData>
    <row r="1" spans="1:10" x14ac:dyDescent="0.3">
      <c r="A1" s="12" t="str">
        <f>сход.клітки!A1</f>
        <v>м. КанівМаршала Рибалки1</v>
      </c>
      <c r="G1" s="1177" t="s">
        <v>210</v>
      </c>
      <c r="H1" s="1177"/>
      <c r="I1" s="1177"/>
      <c r="J1" s="1177"/>
    </row>
    <row r="2" spans="1:10" x14ac:dyDescent="0.3">
      <c r="G2" s="1177" t="s">
        <v>104</v>
      </c>
      <c r="H2" s="1177"/>
      <c r="I2" s="1177"/>
      <c r="J2" s="1177"/>
    </row>
    <row r="3" spans="1:10" x14ac:dyDescent="0.3">
      <c r="G3" s="1181" t="s">
        <v>633</v>
      </c>
      <c r="H3" s="1181"/>
      <c r="I3" s="1181"/>
      <c r="J3" s="1181"/>
    </row>
    <row r="4" spans="1:10" x14ac:dyDescent="0.3">
      <c r="G4" s="247"/>
      <c r="H4" s="248"/>
      <c r="I4" s="1178" t="s">
        <v>292</v>
      </c>
      <c r="J4" s="1178"/>
    </row>
    <row r="6" spans="1:10" x14ac:dyDescent="0.3">
      <c r="A6" s="1179" t="s">
        <v>296</v>
      </c>
      <c r="B6" s="1179"/>
      <c r="C6" s="1179"/>
      <c r="D6" s="1179"/>
      <c r="E6" s="1179"/>
      <c r="F6" s="1179"/>
      <c r="G6" s="1179"/>
      <c r="H6" s="1179"/>
      <c r="I6" s="1179"/>
      <c r="J6" s="1179"/>
    </row>
    <row r="7" spans="1:10" ht="33.6" customHeight="1" x14ac:dyDescent="0.3">
      <c r="A7" s="1483" t="s">
        <v>948</v>
      </c>
      <c r="B7" s="1483"/>
      <c r="C7" s="1483"/>
      <c r="D7" s="1483"/>
      <c r="E7" s="1483"/>
      <c r="F7" s="1483"/>
      <c r="G7" s="1483"/>
      <c r="H7" s="1483"/>
      <c r="I7" s="1483"/>
      <c r="J7" s="1483"/>
    </row>
    <row r="9" spans="1:10" x14ac:dyDescent="0.3">
      <c r="A9" s="239" t="s">
        <v>741</v>
      </c>
    </row>
    <row r="10" spans="1:10" ht="26.4" x14ac:dyDescent="0.3">
      <c r="A10" s="179" t="s">
        <v>212</v>
      </c>
      <c r="B10" s="1172" t="s">
        <v>213</v>
      </c>
      <c r="C10" s="1173"/>
      <c r="D10" s="1173"/>
      <c r="E10" s="1173"/>
      <c r="F10" s="179" t="s">
        <v>214</v>
      </c>
      <c r="G10" s="1172" t="s">
        <v>215</v>
      </c>
      <c r="H10" s="1173"/>
      <c r="I10" s="1172" t="s">
        <v>216</v>
      </c>
      <c r="J10" s="1174"/>
    </row>
    <row r="11" spans="1:10" ht="24" customHeight="1" x14ac:dyDescent="0.3">
      <c r="A11" s="179">
        <v>1</v>
      </c>
      <c r="B11" s="1182" t="s">
        <v>742</v>
      </c>
      <c r="C11" s="1159"/>
      <c r="D11" s="1159"/>
      <c r="E11" s="1159"/>
      <c r="F11" s="256" t="s">
        <v>177</v>
      </c>
      <c r="G11" s="1184">
        <f>I11*12</f>
        <v>1637.4852000000001</v>
      </c>
      <c r="H11" s="1185"/>
      <c r="I11" s="1184">
        <f>I57</f>
        <v>136.4571</v>
      </c>
      <c r="J11" s="1186"/>
    </row>
    <row r="12" spans="1:10" ht="48.6" customHeight="1" x14ac:dyDescent="0.3">
      <c r="A12" s="179">
        <v>2</v>
      </c>
      <c r="B12" s="1187" t="s">
        <v>636</v>
      </c>
      <c r="C12" s="1188"/>
      <c r="D12" s="1188"/>
      <c r="E12" s="1188"/>
      <c r="F12" s="256" t="s">
        <v>177</v>
      </c>
      <c r="G12" s="1184">
        <f>I12*12</f>
        <v>360.24674399999998</v>
      </c>
      <c r="H12" s="1185"/>
      <c r="I12" s="1184">
        <f>I11*розрахунок!D40/100</f>
        <v>30.020561999999998</v>
      </c>
      <c r="J12" s="1186"/>
    </row>
    <row r="13" spans="1:10" x14ac:dyDescent="0.3">
      <c r="A13" s="179">
        <v>3</v>
      </c>
      <c r="B13" s="1182" t="s">
        <v>499</v>
      </c>
      <c r="C13" s="1183"/>
      <c r="D13" s="1183"/>
      <c r="E13" s="1183"/>
      <c r="F13" s="256" t="s">
        <v>177</v>
      </c>
      <c r="G13" s="1184">
        <f>I13*12</f>
        <v>1357.8481858692735</v>
      </c>
      <c r="H13" s="1185"/>
      <c r="I13" s="1184">
        <f>I64</f>
        <v>113.15401548910611</v>
      </c>
      <c r="J13" s="1186"/>
    </row>
    <row r="14" spans="1:10" x14ac:dyDescent="0.3">
      <c r="A14" s="179">
        <v>4</v>
      </c>
      <c r="B14" s="1182" t="s">
        <v>637</v>
      </c>
      <c r="C14" s="1183"/>
      <c r="D14" s="1183"/>
      <c r="E14" s="1183"/>
      <c r="F14" s="256" t="s">
        <v>177</v>
      </c>
      <c r="G14" s="1184">
        <f>G15+G16</f>
        <v>181.71015</v>
      </c>
      <c r="H14" s="1185"/>
      <c r="I14" s="1184">
        <f>I15+I16</f>
        <v>15.142512499999999</v>
      </c>
      <c r="J14" s="1186"/>
    </row>
    <row r="15" spans="1:10" x14ac:dyDescent="0.3">
      <c r="A15" s="565" t="s">
        <v>695</v>
      </c>
      <c r="B15" s="1270" t="s">
        <v>696</v>
      </c>
      <c r="C15" s="1373"/>
      <c r="D15" s="1373"/>
      <c r="E15" s="1374"/>
      <c r="F15" s="256" t="s">
        <v>177</v>
      </c>
      <c r="G15" s="1184">
        <f>I15*12</f>
        <v>71.032650000000004</v>
      </c>
      <c r="H15" s="1185"/>
      <c r="I15" s="1189">
        <f>інвентар!I8</f>
        <v>5.9193875</v>
      </c>
      <c r="J15" s="1375"/>
    </row>
    <row r="16" spans="1:10" x14ac:dyDescent="0.3">
      <c r="A16" s="565" t="s">
        <v>697</v>
      </c>
      <c r="B16" s="1270" t="s">
        <v>698</v>
      </c>
      <c r="C16" s="1373"/>
      <c r="D16" s="1373"/>
      <c r="E16" s="1374"/>
      <c r="F16" s="256" t="s">
        <v>177</v>
      </c>
      <c r="G16" s="1189">
        <f>I16*12</f>
        <v>110.67749999999999</v>
      </c>
      <c r="H16" s="1375"/>
      <c r="I16" s="1189">
        <f>J69/12</f>
        <v>9.2231249999999996</v>
      </c>
      <c r="J16" s="1375"/>
    </row>
    <row r="17" spans="1:10" x14ac:dyDescent="0.3">
      <c r="A17" s="179">
        <v>5</v>
      </c>
      <c r="B17" s="1182" t="s">
        <v>486</v>
      </c>
      <c r="C17" s="1183"/>
      <c r="D17" s="1183"/>
      <c r="E17" s="1183"/>
      <c r="F17" s="256" t="s">
        <v>177</v>
      </c>
      <c r="G17" s="1184">
        <f>I17*12</f>
        <v>0</v>
      </c>
      <c r="H17" s="1185"/>
      <c r="I17" s="1189">
        <v>0</v>
      </c>
      <c r="J17" s="1190"/>
    </row>
    <row r="18" spans="1:10" ht="44.4" customHeight="1" x14ac:dyDescent="0.3">
      <c r="A18" s="179">
        <v>6</v>
      </c>
      <c r="B18" s="1490" t="s">
        <v>744</v>
      </c>
      <c r="C18" s="1491"/>
      <c r="D18" s="1491"/>
      <c r="E18" s="1491"/>
      <c r="F18" s="179" t="s">
        <v>177</v>
      </c>
      <c r="G18" s="1193">
        <f>G11+G12+G13+G14+G17</f>
        <v>3537.2902798692735</v>
      </c>
      <c r="H18" s="1194"/>
      <c r="I18" s="1193">
        <f>I11+I12+I13+I14+I17</f>
        <v>294.77418998910611</v>
      </c>
      <c r="J18" s="1194"/>
    </row>
    <row r="19" spans="1:10" ht="27" customHeight="1" x14ac:dyDescent="0.3">
      <c r="A19" s="179">
        <v>7</v>
      </c>
      <c r="B19" s="1182" t="s">
        <v>699</v>
      </c>
      <c r="C19" s="1183"/>
      <c r="D19" s="1183"/>
      <c r="E19" s="1183"/>
      <c r="F19" s="256" t="s">
        <v>641</v>
      </c>
      <c r="G19" s="1189">
        <f>Характеристика!H45*20</f>
        <v>6400</v>
      </c>
      <c r="H19" s="1557"/>
      <c r="I19" s="1189">
        <f>G19/12</f>
        <v>533.33333333333337</v>
      </c>
      <c r="J19" s="1557"/>
    </row>
    <row r="20" spans="1:10" ht="26.4" x14ac:dyDescent="0.3">
      <c r="A20" s="179">
        <v>8</v>
      </c>
      <c r="B20" s="1182" t="s">
        <v>700</v>
      </c>
      <c r="C20" s="1183"/>
      <c r="D20" s="1183"/>
      <c r="E20" s="1183"/>
      <c r="F20" s="256" t="s">
        <v>701</v>
      </c>
      <c r="G20" s="1555">
        <v>2.5999999999999998E-4</v>
      </c>
      <c r="H20" s="1556"/>
      <c r="I20" s="1555">
        <v>2.5999999999999998E-4</v>
      </c>
      <c r="J20" s="1556"/>
    </row>
    <row r="21" spans="1:10" x14ac:dyDescent="0.3">
      <c r="A21" s="179">
        <v>9</v>
      </c>
      <c r="B21" s="1182" t="s">
        <v>702</v>
      </c>
      <c r="C21" s="1183"/>
      <c r="D21" s="1183"/>
      <c r="E21" s="1183"/>
      <c r="F21" s="256" t="s">
        <v>177</v>
      </c>
      <c r="G21" s="1189">
        <f>розрахунок!D51</f>
        <v>263.83</v>
      </c>
      <c r="H21" s="1557"/>
      <c r="I21" s="1189">
        <f>розрахунок!D51</f>
        <v>263.83</v>
      </c>
      <c r="J21" s="1557"/>
    </row>
    <row r="22" spans="1:10" ht="41.4" customHeight="1" x14ac:dyDescent="0.3">
      <c r="A22" s="179">
        <v>10</v>
      </c>
      <c r="B22" s="1490" t="s">
        <v>745</v>
      </c>
      <c r="C22" s="1491"/>
      <c r="D22" s="1491"/>
      <c r="E22" s="1491"/>
      <c r="F22" s="256" t="s">
        <v>177</v>
      </c>
      <c r="G22" s="1198">
        <f>G19*G20*G21</f>
        <v>439.01311999999996</v>
      </c>
      <c r="H22" s="1554"/>
      <c r="I22" s="1198">
        <f>I19*I20*I21</f>
        <v>36.584426666666666</v>
      </c>
      <c r="J22" s="1554"/>
    </row>
    <row r="23" spans="1:10" x14ac:dyDescent="0.3">
      <c r="A23" s="179">
        <v>11</v>
      </c>
      <c r="B23" s="1191" t="s">
        <v>664</v>
      </c>
      <c r="C23" s="1192"/>
      <c r="D23" s="1192"/>
      <c r="E23" s="1192"/>
      <c r="F23" s="179" t="s">
        <v>177</v>
      </c>
      <c r="G23" s="1193">
        <f>G18+G22</f>
        <v>3976.3033998692736</v>
      </c>
      <c r="H23" s="1194"/>
      <c r="I23" s="1193">
        <f>I18+I22</f>
        <v>331.35861665577278</v>
      </c>
      <c r="J23" s="1195"/>
    </row>
    <row r="24" spans="1:10" ht="15.6" x14ac:dyDescent="0.3">
      <c r="A24" s="179">
        <v>12</v>
      </c>
      <c r="B24" s="1551" t="s">
        <v>119</v>
      </c>
      <c r="C24" s="1552"/>
      <c r="D24" s="1552"/>
      <c r="E24" s="1552"/>
      <c r="F24" s="179" t="s">
        <v>219</v>
      </c>
      <c r="G24" s="1198">
        <f>Характеристика!N18</f>
        <v>2798.8</v>
      </c>
      <c r="H24" s="1199"/>
      <c r="I24" s="1199"/>
      <c r="J24" s="1200"/>
    </row>
    <row r="25" spans="1:10" x14ac:dyDescent="0.3">
      <c r="A25" s="179">
        <v>13</v>
      </c>
      <c r="B25" s="1191" t="s">
        <v>497</v>
      </c>
      <c r="C25" s="1173"/>
      <c r="D25" s="1173"/>
      <c r="E25" s="1173"/>
      <c r="F25" s="179" t="s">
        <v>177</v>
      </c>
      <c r="G25" s="1201">
        <f>I23/G24</f>
        <v>0.11839310299262996</v>
      </c>
      <c r="H25" s="1202"/>
      <c r="I25" s="1553"/>
      <c r="J25" s="1275"/>
    </row>
    <row r="26" spans="1:10" x14ac:dyDescent="0.3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3">
      <c r="A27" s="178" t="s">
        <v>220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3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8" customHeight="1" x14ac:dyDescent="0.3">
      <c r="A29" s="1205" t="s">
        <v>703</v>
      </c>
      <c r="B29" s="1205"/>
      <c r="C29" s="1205"/>
      <c r="D29" s="1205"/>
      <c r="E29" s="1205"/>
      <c r="F29" s="1205"/>
      <c r="G29" s="1205"/>
      <c r="H29" s="1205"/>
      <c r="I29" s="1205"/>
      <c r="J29" s="1205"/>
    </row>
    <row r="30" spans="1:10" ht="37.200000000000003" customHeight="1" x14ac:dyDescent="0.3">
      <c r="A30" s="1206" t="s">
        <v>503</v>
      </c>
      <c r="B30" s="1207"/>
      <c r="C30" s="1207"/>
      <c r="D30" s="1207"/>
      <c r="E30" s="1207"/>
      <c r="F30" s="1207"/>
      <c r="G30" s="1207"/>
      <c r="H30" s="1207"/>
      <c r="I30" s="1207"/>
      <c r="J30" s="1207"/>
    </row>
    <row r="31" spans="1:10" x14ac:dyDescent="0.3">
      <c r="A31" s="1222" t="s">
        <v>743</v>
      </c>
      <c r="B31" s="1223"/>
      <c r="C31" s="1223"/>
      <c r="D31" s="1223"/>
      <c r="E31" s="1224" t="s">
        <v>222</v>
      </c>
      <c r="F31" s="1224"/>
      <c r="G31" s="184">
        <f>розрахунок!D44</f>
        <v>250</v>
      </c>
      <c r="H31" s="1224" t="s">
        <v>223</v>
      </c>
      <c r="I31" s="1224"/>
      <c r="J31" s="184">
        <f>розрахунок!D46</f>
        <v>1993</v>
      </c>
    </row>
    <row r="32" spans="1:10" x14ac:dyDescent="0.3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3">
      <c r="A33" s="539" t="s">
        <v>224</v>
      </c>
      <c r="B33" s="1512" t="s">
        <v>225</v>
      </c>
      <c r="C33" s="1512"/>
      <c r="D33" s="1512"/>
      <c r="E33" s="1512"/>
      <c r="F33" s="1512"/>
      <c r="G33" s="187"/>
      <c r="H33" s="187"/>
      <c r="I33" s="187"/>
      <c r="J33" s="187"/>
    </row>
    <row r="34" spans="1:10" ht="91.8" x14ac:dyDescent="0.3">
      <c r="A34" s="188" t="s">
        <v>226</v>
      </c>
      <c r="B34" s="1226" t="s">
        <v>227</v>
      </c>
      <c r="C34" s="1227"/>
      <c r="D34" s="189" t="s">
        <v>228</v>
      </c>
      <c r="E34" s="190" t="s">
        <v>229</v>
      </c>
      <c r="F34" s="1228" t="s">
        <v>230</v>
      </c>
      <c r="G34" s="1227"/>
      <c r="H34" s="191" t="s">
        <v>231</v>
      </c>
      <c r="I34" s="192" t="s">
        <v>232</v>
      </c>
      <c r="J34" s="192" t="s">
        <v>233</v>
      </c>
    </row>
    <row r="35" spans="1:10" x14ac:dyDescent="0.3">
      <c r="A35" s="193">
        <v>1</v>
      </c>
      <c r="B35" s="1215">
        <v>2</v>
      </c>
      <c r="C35" s="1216"/>
      <c r="D35" s="194">
        <v>3</v>
      </c>
      <c r="E35" s="194">
        <v>4</v>
      </c>
      <c r="F35" s="1217">
        <v>5</v>
      </c>
      <c r="G35" s="1218"/>
      <c r="H35" s="194">
        <v>6</v>
      </c>
      <c r="I35" s="194">
        <v>7</v>
      </c>
      <c r="J35" s="194">
        <v>8</v>
      </c>
    </row>
    <row r="36" spans="1:10" x14ac:dyDescent="0.3">
      <c r="A36" s="195">
        <v>1</v>
      </c>
      <c r="B36" s="1549" t="s">
        <v>704</v>
      </c>
      <c r="C36" s="1550"/>
      <c r="D36" s="849"/>
      <c r="E36" s="849"/>
      <c r="F36" s="849"/>
      <c r="G36" s="849"/>
      <c r="H36" s="567"/>
      <c r="I36" s="568"/>
      <c r="J36" s="569"/>
    </row>
    <row r="37" spans="1:10" ht="37.200000000000003" customHeight="1" x14ac:dyDescent="0.3">
      <c r="A37" s="195"/>
      <c r="B37" s="1540" t="s">
        <v>705</v>
      </c>
      <c r="C37" s="1158"/>
      <c r="D37" s="196">
        <f>Характеристика!H46</f>
        <v>240</v>
      </c>
      <c r="E37" s="231">
        <v>10</v>
      </c>
      <c r="F37" s="1541">
        <v>0.7</v>
      </c>
      <c r="G37" s="1542"/>
      <c r="H37" s="196">
        <f t="shared" ref="H37:H45" si="0">D37/100*F37*E37</f>
        <v>16.8</v>
      </c>
      <c r="I37" s="228">
        <v>2</v>
      </c>
      <c r="J37" s="570" t="s">
        <v>706</v>
      </c>
    </row>
    <row r="38" spans="1:10" ht="32.4" hidden="1" customHeight="1" x14ac:dyDescent="0.3">
      <c r="A38" s="195"/>
      <c r="B38" s="1540"/>
      <c r="C38" s="1158"/>
      <c r="D38" s="196"/>
      <c r="E38" s="231"/>
      <c r="F38" s="1541"/>
      <c r="G38" s="1542"/>
      <c r="H38" s="196"/>
      <c r="I38" s="228"/>
      <c r="J38" s="570"/>
    </row>
    <row r="39" spans="1:10" ht="40.200000000000003" hidden="1" customHeight="1" x14ac:dyDescent="0.3">
      <c r="A39" s="195"/>
      <c r="B39" s="1540" t="s">
        <v>707</v>
      </c>
      <c r="C39" s="1158"/>
      <c r="D39" s="196"/>
      <c r="E39" s="231">
        <v>6</v>
      </c>
      <c r="F39" s="1541">
        <v>1.1000000000000001</v>
      </c>
      <c r="G39" s="1542"/>
      <c r="H39" s="196">
        <f t="shared" si="0"/>
        <v>0</v>
      </c>
      <c r="I39" s="228">
        <v>2</v>
      </c>
      <c r="J39" s="570" t="s">
        <v>708</v>
      </c>
    </row>
    <row r="40" spans="1:10" ht="34.799999999999997" hidden="1" customHeight="1" x14ac:dyDescent="0.3">
      <c r="A40" s="195"/>
      <c r="B40" s="1540" t="s">
        <v>709</v>
      </c>
      <c r="C40" s="1158"/>
      <c r="D40" s="196"/>
      <c r="E40" s="231">
        <v>6</v>
      </c>
      <c r="F40" s="1541">
        <v>0.9</v>
      </c>
      <c r="G40" s="1542"/>
      <c r="H40" s="196">
        <f t="shared" si="0"/>
        <v>0</v>
      </c>
      <c r="I40" s="228">
        <v>2</v>
      </c>
      <c r="J40" s="570" t="s">
        <v>710</v>
      </c>
    </row>
    <row r="41" spans="1:10" ht="38.4" hidden="1" customHeight="1" x14ac:dyDescent="0.3">
      <c r="A41" s="195"/>
      <c r="B41" s="1540" t="s">
        <v>711</v>
      </c>
      <c r="C41" s="1158"/>
      <c r="D41" s="196"/>
      <c r="E41" s="231">
        <v>6</v>
      </c>
      <c r="F41" s="1541">
        <v>1.1000000000000001</v>
      </c>
      <c r="G41" s="1542"/>
      <c r="H41" s="196">
        <f t="shared" si="0"/>
        <v>0</v>
      </c>
      <c r="I41" s="228">
        <v>2</v>
      </c>
      <c r="J41" s="570" t="s">
        <v>712</v>
      </c>
    </row>
    <row r="42" spans="1:10" ht="38.4" hidden="1" customHeight="1" x14ac:dyDescent="0.3">
      <c r="A42" s="195"/>
      <c r="B42" s="1540" t="s">
        <v>713</v>
      </c>
      <c r="C42" s="1158"/>
      <c r="D42" s="196"/>
      <c r="E42" s="231">
        <v>6</v>
      </c>
      <c r="F42" s="1541">
        <v>1.35</v>
      </c>
      <c r="G42" s="1542"/>
      <c r="H42" s="196">
        <f t="shared" si="0"/>
        <v>0</v>
      </c>
      <c r="I42" s="228">
        <v>2</v>
      </c>
      <c r="J42" s="570" t="s">
        <v>714</v>
      </c>
    </row>
    <row r="43" spans="1:10" ht="32.4" customHeight="1" x14ac:dyDescent="0.3">
      <c r="A43" s="195" t="s">
        <v>236</v>
      </c>
      <c r="B43" s="1518" t="s">
        <v>715</v>
      </c>
      <c r="C43" s="1547"/>
      <c r="D43" s="196">
        <f>Характеристика!H47</f>
        <v>240</v>
      </c>
      <c r="E43" s="231">
        <v>10</v>
      </c>
      <c r="F43" s="1213">
        <v>0.18</v>
      </c>
      <c r="G43" s="1548"/>
      <c r="H43" s="196">
        <f t="shared" si="0"/>
        <v>4.32</v>
      </c>
      <c r="I43" s="540">
        <v>2</v>
      </c>
      <c r="J43" s="570" t="s">
        <v>716</v>
      </c>
    </row>
    <row r="44" spans="1:10" ht="30" hidden="1" customHeight="1" x14ac:dyDescent="0.3">
      <c r="A44" s="195"/>
      <c r="B44" s="1540" t="s">
        <v>717</v>
      </c>
      <c r="C44" s="1158"/>
      <c r="D44" s="196"/>
      <c r="E44" s="231">
        <v>6</v>
      </c>
      <c r="F44" s="1541">
        <v>1</v>
      </c>
      <c r="G44" s="1542"/>
      <c r="H44" s="196">
        <f t="shared" si="0"/>
        <v>0</v>
      </c>
      <c r="I44" s="228">
        <v>2</v>
      </c>
      <c r="J44" s="570" t="s">
        <v>718</v>
      </c>
    </row>
    <row r="45" spans="1:10" ht="45" hidden="1" customHeight="1" x14ac:dyDescent="0.3">
      <c r="A45" s="195"/>
      <c r="B45" s="1540" t="s">
        <v>719</v>
      </c>
      <c r="C45" s="1158"/>
      <c r="D45" s="196">
        <f>[1]Таблица_Характеристика!M58+[1]Таблица_Характеристика!N58</f>
        <v>0</v>
      </c>
      <c r="E45" s="231">
        <v>6</v>
      </c>
      <c r="F45" s="1541">
        <v>1.2</v>
      </c>
      <c r="G45" s="1542"/>
      <c r="H45" s="196">
        <f t="shared" si="0"/>
        <v>0</v>
      </c>
      <c r="I45" s="228">
        <v>2</v>
      </c>
      <c r="J45" s="570" t="s">
        <v>720</v>
      </c>
    </row>
    <row r="46" spans="1:10" hidden="1" x14ac:dyDescent="0.3">
      <c r="A46" s="195" t="s">
        <v>236</v>
      </c>
      <c r="B46" s="1543" t="s">
        <v>721</v>
      </c>
      <c r="C46" s="1544"/>
      <c r="D46" s="1545"/>
      <c r="E46" s="1545"/>
      <c r="F46" s="1545"/>
      <c r="G46" s="1545"/>
      <c r="H46" s="1546"/>
      <c r="I46" s="228"/>
      <c r="J46" s="570"/>
    </row>
    <row r="47" spans="1:10" ht="34.799999999999997" hidden="1" customHeight="1" x14ac:dyDescent="0.3">
      <c r="A47" s="195"/>
      <c r="B47" s="1238" t="s">
        <v>722</v>
      </c>
      <c r="C47" s="1511"/>
      <c r="D47" s="196"/>
      <c r="E47" s="231">
        <v>6</v>
      </c>
      <c r="F47" s="1213">
        <v>8.33</v>
      </c>
      <c r="G47" s="1311"/>
      <c r="H47" s="196"/>
      <c r="I47" s="228">
        <v>18</v>
      </c>
      <c r="J47" s="570" t="s">
        <v>723</v>
      </c>
    </row>
    <row r="48" spans="1:10" ht="35.4" customHeight="1" x14ac:dyDescent="0.3">
      <c r="A48" s="195" t="s">
        <v>240</v>
      </c>
      <c r="B48" s="1208" t="s">
        <v>724</v>
      </c>
      <c r="C48" s="1537"/>
      <c r="D48" s="200">
        <f>Характеристика!H48</f>
        <v>9</v>
      </c>
      <c r="E48" s="571">
        <v>20</v>
      </c>
      <c r="F48" s="1538">
        <v>3.6</v>
      </c>
      <c r="G48" s="1539"/>
      <c r="H48" s="200">
        <f>F48/100*D48*E48</f>
        <v>6.4800000000000013</v>
      </c>
      <c r="I48" s="194">
        <v>3</v>
      </c>
      <c r="J48" s="572" t="s">
        <v>725</v>
      </c>
    </row>
    <row r="49" spans="1:10" ht="35.4" customHeight="1" x14ac:dyDescent="0.3">
      <c r="A49" s="195" t="s">
        <v>241</v>
      </c>
      <c r="B49" s="1208" t="s">
        <v>726</v>
      </c>
      <c r="C49" s="1537"/>
      <c r="D49" s="200">
        <f>Характеристика!H49</f>
        <v>24</v>
      </c>
      <c r="E49" s="571">
        <v>10</v>
      </c>
      <c r="F49" s="1538">
        <v>0.69</v>
      </c>
      <c r="G49" s="1539"/>
      <c r="H49" s="200">
        <f>F49/10*D49*E49</f>
        <v>16.559999999999995</v>
      </c>
      <c r="I49" s="194">
        <v>9</v>
      </c>
      <c r="J49" s="572" t="s">
        <v>727</v>
      </c>
    </row>
    <row r="50" spans="1:10" ht="33.6" customHeight="1" x14ac:dyDescent="0.3">
      <c r="A50" s="195" t="s">
        <v>256</v>
      </c>
      <c r="B50" s="1208" t="s">
        <v>728</v>
      </c>
      <c r="C50" s="1537"/>
      <c r="D50" s="200">
        <f>Характеристика!G84</f>
        <v>4</v>
      </c>
      <c r="E50" s="571">
        <v>10</v>
      </c>
      <c r="F50" s="1538">
        <v>0.6</v>
      </c>
      <c r="G50" s="1539"/>
      <c r="H50" s="200">
        <f>F50/10*D50*E50</f>
        <v>2.4</v>
      </c>
      <c r="I50" s="194">
        <v>13</v>
      </c>
      <c r="J50" s="572" t="s">
        <v>729</v>
      </c>
    </row>
    <row r="51" spans="1:10" ht="33.6" customHeight="1" x14ac:dyDescent="0.3">
      <c r="A51" s="195" t="s">
        <v>259</v>
      </c>
      <c r="B51" s="1208" t="s">
        <v>913</v>
      </c>
      <c r="C51" s="1537"/>
      <c r="D51" s="200">
        <f>Характеристика!H44</f>
        <v>125</v>
      </c>
      <c r="E51" s="571">
        <v>20</v>
      </c>
      <c r="F51" s="1538">
        <v>0.2</v>
      </c>
      <c r="G51" s="1539"/>
      <c r="H51" s="200">
        <f>F51/100*D51*E51</f>
        <v>5</v>
      </c>
      <c r="I51" s="194">
        <v>20</v>
      </c>
      <c r="J51" s="572" t="s">
        <v>476</v>
      </c>
    </row>
    <row r="52" spans="1:10" x14ac:dyDescent="0.3">
      <c r="A52" s="214"/>
      <c r="B52" s="1248" t="s">
        <v>262</v>
      </c>
      <c r="C52" s="1249"/>
      <c r="D52" s="215"/>
      <c r="E52" s="216"/>
      <c r="F52" s="1250"/>
      <c r="G52" s="1250"/>
      <c r="H52" s="217">
        <f>SUM(H37:H51)</f>
        <v>51.559999999999995</v>
      </c>
      <c r="I52" s="218"/>
      <c r="J52" s="219"/>
    </row>
    <row r="53" spans="1:10" x14ac:dyDescent="0.3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3">
      <c r="A54" s="1255" t="s">
        <v>264</v>
      </c>
      <c r="B54" s="1256"/>
      <c r="C54" s="1256"/>
      <c r="D54" s="1256"/>
      <c r="E54" s="1256"/>
      <c r="F54" s="1256"/>
      <c r="G54" s="1256"/>
      <c r="H54" s="1256"/>
      <c r="I54" s="1256"/>
      <c r="J54" s="1256"/>
    </row>
    <row r="55" spans="1:10" ht="72" x14ac:dyDescent="0.3">
      <c r="A55" s="1529" t="s">
        <v>186</v>
      </c>
      <c r="B55" s="1231"/>
      <c r="C55" s="224" t="s">
        <v>265</v>
      </c>
      <c r="D55" s="225" t="s">
        <v>266</v>
      </c>
      <c r="E55" s="226" t="s">
        <v>267</v>
      </c>
      <c r="F55" s="227" t="s">
        <v>268</v>
      </c>
      <c r="G55" s="227" t="s">
        <v>269</v>
      </c>
      <c r="H55" s="226" t="s">
        <v>270</v>
      </c>
      <c r="I55" s="1232" t="s">
        <v>730</v>
      </c>
      <c r="J55" s="1233"/>
    </row>
    <row r="56" spans="1:10" x14ac:dyDescent="0.3">
      <c r="A56" s="1285">
        <v>1</v>
      </c>
      <c r="B56" s="1231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243">
        <v>7</v>
      </c>
      <c r="J56" s="1244"/>
    </row>
    <row r="57" spans="1:10" x14ac:dyDescent="0.3">
      <c r="A57" s="1280" t="s">
        <v>193</v>
      </c>
      <c r="B57" s="744"/>
      <c r="C57" s="230">
        <f>H52</f>
        <v>51.559999999999995</v>
      </c>
      <c r="D57" s="231">
        <f>J31</f>
        <v>1993</v>
      </c>
      <c r="E57" s="196">
        <f>ROUND(C57/D57,2)</f>
        <v>0.03</v>
      </c>
      <c r="F57" s="196">
        <f>оклади!K7</f>
        <v>4173</v>
      </c>
      <c r="G57" s="203">
        <f>E57*F57</f>
        <v>125.19</v>
      </c>
      <c r="H57" s="196">
        <f>G57*0</f>
        <v>0</v>
      </c>
      <c r="I57" s="1246">
        <f>G57*1.09+H57</f>
        <v>136.4571</v>
      </c>
      <c r="J57" s="1247"/>
    </row>
    <row r="58" spans="1:10" x14ac:dyDescent="0.3">
      <c r="A58" s="556"/>
      <c r="B58" s="502"/>
      <c r="C58" s="573"/>
      <c r="D58" s="574"/>
      <c r="E58" s="574"/>
      <c r="F58" s="574"/>
      <c r="G58" s="575"/>
      <c r="H58" s="574"/>
      <c r="I58" s="574"/>
      <c r="J58" s="576"/>
    </row>
    <row r="59" spans="1:10" x14ac:dyDescent="0.3">
      <c r="A59" s="1536" t="s">
        <v>620</v>
      </c>
      <c r="B59" s="1536"/>
      <c r="C59" s="1536"/>
      <c r="D59" s="1536"/>
      <c r="E59" s="1536"/>
      <c r="F59" s="1536"/>
      <c r="G59" s="1536"/>
      <c r="H59" s="1536"/>
      <c r="I59" s="1536"/>
      <c r="J59" s="1536"/>
    </row>
    <row r="60" spans="1:10" ht="60" x14ac:dyDescent="0.3">
      <c r="A60" s="1257" t="s">
        <v>273</v>
      </c>
      <c r="B60" s="1258"/>
      <c r="C60" s="226" t="s">
        <v>274</v>
      </c>
      <c r="D60" s="1257" t="s">
        <v>492</v>
      </c>
      <c r="E60" s="744"/>
      <c r="F60" s="226" t="s">
        <v>276</v>
      </c>
      <c r="G60" s="1257" t="s">
        <v>731</v>
      </c>
      <c r="H60" s="744"/>
      <c r="I60" s="1257" t="s">
        <v>732</v>
      </c>
      <c r="J60" s="744"/>
    </row>
    <row r="61" spans="1:10" x14ac:dyDescent="0.3">
      <c r="A61" s="1257">
        <v>1</v>
      </c>
      <c r="B61" s="1258"/>
      <c r="C61" s="226">
        <v>2</v>
      </c>
      <c r="D61" s="1257">
        <v>3</v>
      </c>
      <c r="E61" s="744"/>
      <c r="F61" s="226">
        <v>4</v>
      </c>
      <c r="G61" s="1257">
        <v>5</v>
      </c>
      <c r="H61" s="744"/>
      <c r="I61" s="1257">
        <v>6</v>
      </c>
      <c r="J61" s="744"/>
    </row>
    <row r="62" spans="1:10" ht="44.4" customHeight="1" x14ac:dyDescent="0.3">
      <c r="A62" s="1280" t="s">
        <v>279</v>
      </c>
      <c r="B62" s="1280"/>
      <c r="C62" s="399">
        <f>сход.клітки!C73</f>
        <v>1782768</v>
      </c>
      <c r="D62" s="1261">
        <f>сход.клітки!D73</f>
        <v>4193729</v>
      </c>
      <c r="E62" s="744"/>
      <c r="F62" s="472">
        <f>C62/D62*100</f>
        <v>42.51032911282536</v>
      </c>
      <c r="G62" s="1261">
        <f>I57</f>
        <v>136.4571</v>
      </c>
      <c r="H62" s="744"/>
      <c r="I62" s="1261">
        <f>F62*G62/100</f>
        <v>58.008362307817215</v>
      </c>
      <c r="J62" s="744"/>
    </row>
    <row r="63" spans="1:10" ht="22.2" customHeight="1" x14ac:dyDescent="0.3">
      <c r="A63" s="1280" t="s">
        <v>733</v>
      </c>
      <c r="B63" s="1280"/>
      <c r="C63" s="399">
        <f>сход.клітки!C74</f>
        <v>2914645</v>
      </c>
      <c r="D63" s="1261">
        <f>сход.клітки!D74</f>
        <v>14598843</v>
      </c>
      <c r="E63" s="744"/>
      <c r="F63" s="472">
        <f>C63/D63*100</f>
        <v>19.964904068082657</v>
      </c>
      <c r="G63" s="1261">
        <f>I11+I12+I14+I17+I22+I62</f>
        <v>276.2129634744839</v>
      </c>
      <c r="H63" s="744"/>
      <c r="I63" s="1261">
        <f>F63*G63/100</f>
        <v>55.1456531812889</v>
      </c>
      <c r="J63" s="744"/>
    </row>
    <row r="64" spans="1:10" x14ac:dyDescent="0.3">
      <c r="A64" s="1282" t="s">
        <v>218</v>
      </c>
      <c r="B64" s="1282"/>
      <c r="C64" s="400"/>
      <c r="D64" s="1267"/>
      <c r="E64" s="1488"/>
      <c r="F64" s="473"/>
      <c r="G64" s="1267"/>
      <c r="H64" s="1488"/>
      <c r="I64" s="1267">
        <f>SUM(I62:I63)</f>
        <v>113.15401548910611</v>
      </c>
      <c r="J64" s="1488"/>
    </row>
    <row r="65" spans="1:10" x14ac:dyDescent="0.3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3">
      <c r="A66" s="178" t="s">
        <v>734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5.6" x14ac:dyDescent="0.3">
      <c r="A67" s="1250" t="s">
        <v>735</v>
      </c>
      <c r="B67" s="1250"/>
      <c r="C67" s="1250"/>
      <c r="D67" s="189" t="s">
        <v>228</v>
      </c>
      <c r="E67" s="190" t="s">
        <v>229</v>
      </c>
      <c r="F67" s="466" t="s">
        <v>736</v>
      </c>
      <c r="G67" s="1402" t="s">
        <v>737</v>
      </c>
      <c r="H67" s="1402"/>
      <c r="I67" s="466" t="s">
        <v>738</v>
      </c>
      <c r="J67" s="466" t="s">
        <v>739</v>
      </c>
    </row>
    <row r="68" spans="1:10" x14ac:dyDescent="0.3">
      <c r="A68" s="1250">
        <v>1</v>
      </c>
      <c r="B68" s="1250"/>
      <c r="C68" s="1250"/>
      <c r="D68" s="189">
        <v>2</v>
      </c>
      <c r="E68" s="192">
        <v>3</v>
      </c>
      <c r="F68" s="466">
        <v>4</v>
      </c>
      <c r="G68" s="1402">
        <v>5</v>
      </c>
      <c r="H68" s="1402"/>
      <c r="I68" s="409">
        <v>6</v>
      </c>
      <c r="J68" s="409">
        <v>7</v>
      </c>
    </row>
    <row r="69" spans="1:10" x14ac:dyDescent="0.3">
      <c r="A69" s="1292" t="s">
        <v>740</v>
      </c>
      <c r="B69" s="1292"/>
      <c r="C69" s="1292"/>
      <c r="D69" s="471">
        <f>Характеристика!H44</f>
        <v>125</v>
      </c>
      <c r="E69" s="406">
        <v>20</v>
      </c>
      <c r="F69" s="406">
        <v>1.4999999999999999E-2</v>
      </c>
      <c r="G69" s="1403">
        <f>D69/100*E69*F69</f>
        <v>0.375</v>
      </c>
      <c r="H69" s="1403"/>
      <c r="I69" s="471">
        <f>розрахунок!D50</f>
        <v>295.14</v>
      </c>
      <c r="J69" s="471">
        <f>G69*I69</f>
        <v>110.67749999999999</v>
      </c>
    </row>
  </sheetData>
  <mergeCells count="128"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topLeftCell="A4" zoomScaleNormal="100" workbookViewId="0">
      <selection activeCell="D22" sqref="D22"/>
    </sheetView>
  </sheetViews>
  <sheetFormatPr defaultRowHeight="14.4" x14ac:dyDescent="0.3"/>
  <cols>
    <col min="3" max="3" width="22.109375" customWidth="1"/>
    <col min="4" max="4" width="22.88671875" customWidth="1"/>
    <col min="5" max="5" width="9.44140625" customWidth="1"/>
    <col min="7" max="7" width="9.77734375" customWidth="1"/>
  </cols>
  <sheetData>
    <row r="1" spans="1:10" x14ac:dyDescent="0.3">
      <c r="A1" s="12" t="str">
        <f>сход.клітки!A1</f>
        <v>м. КанівМаршала Рибалки1</v>
      </c>
      <c r="D1" s="1177" t="s">
        <v>210</v>
      </c>
      <c r="E1" s="1177"/>
      <c r="F1" s="1177"/>
      <c r="G1" s="1177"/>
    </row>
    <row r="2" spans="1:10" x14ac:dyDescent="0.3">
      <c r="D2" s="1177" t="s">
        <v>104</v>
      </c>
      <c r="E2" s="1177"/>
      <c r="F2" s="1177"/>
      <c r="G2" s="1177"/>
    </row>
    <row r="3" spans="1:10" x14ac:dyDescent="0.3">
      <c r="D3" s="1181" t="s">
        <v>633</v>
      </c>
      <c r="E3" s="1181"/>
      <c r="F3" s="1181"/>
      <c r="G3" s="1181"/>
    </row>
    <row r="4" spans="1:10" x14ac:dyDescent="0.3">
      <c r="D4" s="247"/>
      <c r="E4" s="248"/>
      <c r="F4" s="1178" t="s">
        <v>292</v>
      </c>
      <c r="G4" s="1178"/>
    </row>
    <row r="6" spans="1:10" x14ac:dyDescent="0.3">
      <c r="A6" s="1179" t="s">
        <v>296</v>
      </c>
      <c r="B6" s="1179"/>
      <c r="C6" s="1179"/>
      <c r="D6" s="1179"/>
      <c r="E6" s="1179"/>
      <c r="F6" s="1179"/>
      <c r="G6" s="1179"/>
      <c r="H6" s="532"/>
      <c r="I6" s="532"/>
      <c r="J6" s="532"/>
    </row>
    <row r="7" spans="1:10" x14ac:dyDescent="0.3">
      <c r="A7" s="1532" t="s">
        <v>752</v>
      </c>
      <c r="B7" s="1532"/>
      <c r="C7" s="1532"/>
      <c r="D7" s="1532"/>
      <c r="E7" s="1532"/>
      <c r="F7" s="1532"/>
      <c r="G7" s="1532"/>
    </row>
    <row r="9" spans="1:10" ht="52.8" x14ac:dyDescent="0.3">
      <c r="A9" s="482" t="s">
        <v>212</v>
      </c>
      <c r="B9" s="1174" t="s">
        <v>747</v>
      </c>
      <c r="C9" s="744"/>
      <c r="D9" s="744"/>
      <c r="E9" s="476" t="s">
        <v>214</v>
      </c>
      <c r="F9" s="482" t="s">
        <v>215</v>
      </c>
      <c r="G9" s="476" t="s">
        <v>754</v>
      </c>
    </row>
    <row r="10" spans="1:10" ht="30.6" customHeight="1" x14ac:dyDescent="0.3">
      <c r="A10" s="147">
        <v>1</v>
      </c>
      <c r="B10" s="1158" t="s">
        <v>751</v>
      </c>
      <c r="C10" s="744"/>
      <c r="D10" s="744"/>
      <c r="E10" s="577" t="s">
        <v>641</v>
      </c>
      <c r="F10" s="1564">
        <f>розрахунок!D9</f>
        <v>600</v>
      </c>
      <c r="G10" s="744"/>
    </row>
    <row r="11" spans="1:10" ht="33.6" customHeight="1" x14ac:dyDescent="0.3">
      <c r="A11" s="147">
        <v>2</v>
      </c>
      <c r="B11" s="1158" t="s">
        <v>753</v>
      </c>
      <c r="C11" s="744"/>
      <c r="D11" s="744"/>
      <c r="E11" s="577" t="s">
        <v>177</v>
      </c>
      <c r="F11" s="1565">
        <f>Характеристика!M104</f>
        <v>0.15</v>
      </c>
      <c r="G11" s="1566"/>
    </row>
    <row r="12" spans="1:10" x14ac:dyDescent="0.3">
      <c r="A12" s="147">
        <v>5</v>
      </c>
      <c r="B12" s="1158" t="s">
        <v>499</v>
      </c>
      <c r="C12" s="744"/>
      <c r="D12" s="744"/>
      <c r="E12" s="577" t="s">
        <v>177</v>
      </c>
      <c r="F12" s="577">
        <f>G12*12</f>
        <v>215.62096393529271</v>
      </c>
      <c r="G12" s="578">
        <f>G22</f>
        <v>17.968413661274393</v>
      </c>
    </row>
    <row r="13" spans="1:10" x14ac:dyDescent="0.3">
      <c r="A13" s="147">
        <v>6</v>
      </c>
      <c r="B13" s="1563" t="s">
        <v>664</v>
      </c>
      <c r="C13" s="744"/>
      <c r="D13" s="744"/>
      <c r="E13" s="579" t="s">
        <v>177</v>
      </c>
      <c r="F13" s="579">
        <f>G13*12</f>
        <v>1295.6209639352928</v>
      </c>
      <c r="G13" s="580">
        <f>F10*F11+G12</f>
        <v>107.9684136612744</v>
      </c>
    </row>
    <row r="14" spans="1:10" ht="15.6" x14ac:dyDescent="0.3">
      <c r="A14" s="147">
        <v>7</v>
      </c>
      <c r="B14" s="1558" t="s">
        <v>119</v>
      </c>
      <c r="C14" s="1559"/>
      <c r="D14" s="1559"/>
      <c r="E14" s="579" t="s">
        <v>641</v>
      </c>
      <c r="F14" s="1560">
        <f>Характеристика!N18</f>
        <v>2798.8</v>
      </c>
      <c r="G14" s="1488"/>
    </row>
    <row r="15" spans="1:10" x14ac:dyDescent="0.3">
      <c r="A15" s="147">
        <v>8</v>
      </c>
      <c r="B15" s="1191" t="s">
        <v>497</v>
      </c>
      <c r="C15" s="744"/>
      <c r="D15" s="744"/>
      <c r="E15" s="215" t="s">
        <v>177</v>
      </c>
      <c r="F15" s="1561">
        <f>G13/F14</f>
        <v>3.8576680599283403E-2</v>
      </c>
      <c r="G15" s="744"/>
    </row>
    <row r="16" spans="1:10" x14ac:dyDescent="0.3">
      <c r="A16" s="145"/>
      <c r="B16" s="538"/>
      <c r="C16" s="37"/>
      <c r="D16" s="37"/>
      <c r="E16" s="517"/>
      <c r="F16" s="517"/>
      <c r="G16" s="581"/>
    </row>
    <row r="17" spans="1:7" x14ac:dyDescent="0.3">
      <c r="A17" s="1562" t="s">
        <v>620</v>
      </c>
      <c r="B17" s="1278"/>
      <c r="C17" s="1278"/>
      <c r="D17" s="1278"/>
      <c r="E17" s="1278"/>
      <c r="F17" s="1278"/>
      <c r="G17" s="1278"/>
    </row>
    <row r="18" spans="1:7" ht="84" x14ac:dyDescent="0.3">
      <c r="A18" s="1232" t="s">
        <v>273</v>
      </c>
      <c r="B18" s="1284"/>
      <c r="C18" s="227" t="s">
        <v>274</v>
      </c>
      <c r="D18" s="227" t="s">
        <v>748</v>
      </c>
      <c r="E18" s="226" t="s">
        <v>276</v>
      </c>
      <c r="F18" s="227" t="s">
        <v>749</v>
      </c>
      <c r="G18" s="226" t="s">
        <v>750</v>
      </c>
    </row>
    <row r="19" spans="1:7" x14ac:dyDescent="0.3">
      <c r="A19" s="1232">
        <v>1</v>
      </c>
      <c r="B19" s="1284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" customHeight="1" x14ac:dyDescent="0.3">
      <c r="A20" s="1287" t="s">
        <v>279</v>
      </c>
      <c r="B20" s="1288"/>
      <c r="C20" s="399">
        <f>прибирання!C49</f>
        <v>1782768</v>
      </c>
      <c r="D20" s="238">
        <f>прибирання!D49</f>
        <v>4193729</v>
      </c>
      <c r="E20" s="463">
        <f>C20/D20*100</f>
        <v>42.51032911282536</v>
      </c>
      <c r="F20" s="479">
        <v>0</v>
      </c>
      <c r="G20" s="238">
        <f>E20*F20/100</f>
        <v>0</v>
      </c>
    </row>
    <row r="21" spans="1:7" ht="28.2" customHeight="1" x14ac:dyDescent="0.3">
      <c r="A21" s="1287" t="s">
        <v>280</v>
      </c>
      <c r="B21" s="1288"/>
      <c r="C21" s="399">
        <f>прибирання!C50</f>
        <v>2914645</v>
      </c>
      <c r="D21" s="238">
        <f>прибирання!D50</f>
        <v>14598843</v>
      </c>
      <c r="E21" s="463">
        <f>C21/D21*100</f>
        <v>19.964904068082657</v>
      </c>
      <c r="F21" s="479">
        <f>F10*F11+G20</f>
        <v>90</v>
      </c>
      <c r="G21" s="238">
        <f>E21*F21/100</f>
        <v>17.968413661274393</v>
      </c>
    </row>
    <row r="22" spans="1:7" ht="28.2" customHeight="1" x14ac:dyDescent="0.3">
      <c r="A22" s="1295" t="s">
        <v>281</v>
      </c>
      <c r="B22" s="1296"/>
      <c r="C22" s="400"/>
      <c r="D22" s="401"/>
      <c r="E22" s="464"/>
      <c r="F22" s="480"/>
      <c r="G22" s="401">
        <f>SUM(G20:G21)</f>
        <v>17.968413661274393</v>
      </c>
    </row>
  </sheetData>
  <mergeCells count="23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2:B22"/>
  </mergeCells>
  <pageMargins left="0.7" right="0.7" top="0.75" bottom="0.75" header="0.3" footer="0.3"/>
  <pageSetup paperSize="9" scale="9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I11" sqref="I11:J11"/>
    </sheetView>
  </sheetViews>
  <sheetFormatPr defaultRowHeight="14.4" x14ac:dyDescent="0.3"/>
  <cols>
    <col min="10" max="10" width="9.44140625" bestFit="1" customWidth="1"/>
  </cols>
  <sheetData>
    <row r="1" spans="1:10" x14ac:dyDescent="0.3">
      <c r="A1" s="12" t="str">
        <f>дератизація!A1</f>
        <v>м. КанівМаршала Рибалки1</v>
      </c>
      <c r="G1" s="1177" t="s">
        <v>210</v>
      </c>
      <c r="H1" s="1177"/>
      <c r="I1" s="1177"/>
      <c r="J1" s="1177"/>
    </row>
    <row r="2" spans="1:10" x14ac:dyDescent="0.3">
      <c r="G2" s="1177" t="s">
        <v>104</v>
      </c>
      <c r="H2" s="1177"/>
      <c r="I2" s="1177"/>
      <c r="J2" s="1177"/>
    </row>
    <row r="3" spans="1:10" x14ac:dyDescent="0.3">
      <c r="G3" s="1181" t="s">
        <v>633</v>
      </c>
      <c r="H3" s="1181"/>
      <c r="I3" s="1181"/>
      <c r="J3" s="1181"/>
    </row>
    <row r="4" spans="1:10" x14ac:dyDescent="0.3">
      <c r="G4" s="247"/>
      <c r="H4" s="248"/>
      <c r="I4" s="1178" t="s">
        <v>292</v>
      </c>
      <c r="J4" s="1178"/>
    </row>
    <row r="6" spans="1:10" x14ac:dyDescent="0.3">
      <c r="A6" s="1179" t="s">
        <v>296</v>
      </c>
      <c r="B6" s="1179"/>
      <c r="C6" s="1179"/>
      <c r="D6" s="1179"/>
      <c r="E6" s="1179"/>
      <c r="F6" s="1179"/>
      <c r="G6" s="1179"/>
      <c r="H6" s="1179"/>
      <c r="I6" s="1179"/>
      <c r="J6" s="1179"/>
    </row>
    <row r="7" spans="1:10" x14ac:dyDescent="0.3">
      <c r="A7" s="1532" t="s">
        <v>755</v>
      </c>
      <c r="B7" s="1532"/>
      <c r="C7" s="1532"/>
      <c r="D7" s="1532"/>
      <c r="E7" s="1532"/>
      <c r="F7" s="1532"/>
      <c r="G7" s="1532"/>
      <c r="H7" s="1532"/>
      <c r="I7" s="1532"/>
      <c r="J7" s="1532"/>
    </row>
    <row r="9" spans="1:10" ht="39.6" x14ac:dyDescent="0.3">
      <c r="A9" s="147" t="s">
        <v>212</v>
      </c>
      <c r="B9" s="1174" t="s">
        <v>213</v>
      </c>
      <c r="C9" s="1424"/>
      <c r="D9" s="1424"/>
      <c r="E9" s="1424"/>
      <c r="F9" s="1424"/>
      <c r="G9" s="1424"/>
      <c r="H9" s="482" t="s">
        <v>214</v>
      </c>
      <c r="I9" s="482" t="s">
        <v>215</v>
      </c>
      <c r="J9" s="482" t="s">
        <v>488</v>
      </c>
    </row>
    <row r="10" spans="1:10" ht="66" customHeight="1" x14ac:dyDescent="0.3">
      <c r="A10" s="147">
        <v>1</v>
      </c>
      <c r="B10" s="1158" t="s">
        <v>756</v>
      </c>
      <c r="C10" s="1159"/>
      <c r="D10" s="1159"/>
      <c r="E10" s="1159"/>
      <c r="F10" s="1159"/>
      <c r="G10" s="1159"/>
      <c r="H10" s="409" t="s">
        <v>177</v>
      </c>
      <c r="I10" s="673">
        <f>ROUND(J10*12,2)</f>
        <v>18345.36</v>
      </c>
      <c r="J10" s="669">
        <f>розрахунок!D53</f>
        <v>1528.78</v>
      </c>
    </row>
    <row r="11" spans="1:10" x14ac:dyDescent="0.3">
      <c r="A11" s="147">
        <v>2</v>
      </c>
      <c r="B11" s="1158" t="s">
        <v>759</v>
      </c>
      <c r="C11" s="1159"/>
      <c r="D11" s="1159"/>
      <c r="E11" s="1159"/>
      <c r="F11" s="1159"/>
      <c r="G11" s="1159"/>
      <c r="H11" s="409" t="s">
        <v>164</v>
      </c>
      <c r="I11" s="1569">
        <f>Характеристика!I12</f>
        <v>0</v>
      </c>
      <c r="J11" s="1569"/>
    </row>
    <row r="12" spans="1:10" x14ac:dyDescent="0.3">
      <c r="A12" s="147">
        <v>3</v>
      </c>
      <c r="B12" s="1158" t="s">
        <v>760</v>
      </c>
      <c r="C12" s="1159"/>
      <c r="D12" s="1159"/>
      <c r="E12" s="1159"/>
      <c r="F12" s="1159"/>
      <c r="G12" s="1159"/>
      <c r="H12" s="409" t="s">
        <v>177</v>
      </c>
      <c r="I12" s="503">
        <f>I10*I11</f>
        <v>0</v>
      </c>
      <c r="J12" s="503">
        <f>J10*I11</f>
        <v>0</v>
      </c>
    </row>
    <row r="13" spans="1:10" x14ac:dyDescent="0.3">
      <c r="A13" s="147">
        <v>5</v>
      </c>
      <c r="B13" s="1563" t="s">
        <v>664</v>
      </c>
      <c r="C13" s="1173"/>
      <c r="D13" s="1173"/>
      <c r="E13" s="1173"/>
      <c r="F13" s="1173"/>
      <c r="G13" s="1173"/>
      <c r="H13" s="147" t="s">
        <v>177</v>
      </c>
      <c r="I13" s="504">
        <f>I12</f>
        <v>0</v>
      </c>
      <c r="J13" s="504">
        <f>J12</f>
        <v>0</v>
      </c>
    </row>
    <row r="14" spans="1:10" x14ac:dyDescent="0.3">
      <c r="A14" s="147">
        <v>7</v>
      </c>
      <c r="B14" s="1158" t="s">
        <v>119</v>
      </c>
      <c r="C14" s="1159"/>
      <c r="D14" s="1159"/>
      <c r="E14" s="1159"/>
      <c r="F14" s="1159"/>
      <c r="G14" s="1159"/>
      <c r="H14" s="409" t="s">
        <v>641</v>
      </c>
      <c r="I14" s="1186">
        <f>Характеристика!N18</f>
        <v>2798.8</v>
      </c>
      <c r="J14" s="1186"/>
    </row>
    <row r="15" spans="1:10" x14ac:dyDescent="0.3">
      <c r="A15" s="147">
        <v>8</v>
      </c>
      <c r="B15" s="1274" t="s">
        <v>497</v>
      </c>
      <c r="C15" s="1567"/>
      <c r="D15" s="1567"/>
      <c r="E15" s="1567"/>
      <c r="F15" s="1419"/>
      <c r="G15" s="1420"/>
      <c r="H15" s="147" t="s">
        <v>177</v>
      </c>
      <c r="I15" s="1568">
        <f>J13/I14</f>
        <v>0</v>
      </c>
      <c r="J15" s="1568"/>
    </row>
    <row r="16" spans="1:10" x14ac:dyDescent="0.3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  <pageSetup paperSize="9" scale="97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4"/>
  <sheetViews>
    <sheetView workbookViewId="0">
      <selection activeCell="L10" sqref="L10"/>
    </sheetView>
  </sheetViews>
  <sheetFormatPr defaultRowHeight="14.4" x14ac:dyDescent="0.3"/>
  <cols>
    <col min="1" max="1" width="6.88671875" customWidth="1"/>
    <col min="3" max="3" width="14" customWidth="1"/>
    <col min="4" max="4" width="12.88671875" customWidth="1"/>
    <col min="5" max="5" width="13.109375" customWidth="1"/>
    <col min="6" max="6" width="9" customWidth="1"/>
    <col min="7" max="7" width="12.44140625" customWidth="1"/>
  </cols>
  <sheetData>
    <row r="1" spans="1:10" x14ac:dyDescent="0.3">
      <c r="A1" s="12" t="str">
        <f>дератизація!A1</f>
        <v>м. КанівМаршала Рибалки1</v>
      </c>
      <c r="E1" s="1177" t="s">
        <v>210</v>
      </c>
      <c r="F1" s="1177"/>
      <c r="G1" s="1177"/>
      <c r="H1" s="1177"/>
    </row>
    <row r="2" spans="1:10" x14ac:dyDescent="0.3">
      <c r="E2" s="1177" t="s">
        <v>104</v>
      </c>
      <c r="F2" s="1177"/>
      <c r="G2" s="1177"/>
      <c r="H2" s="1177"/>
    </row>
    <row r="3" spans="1:10" x14ac:dyDescent="0.3">
      <c r="E3" s="1181" t="s">
        <v>633</v>
      </c>
      <c r="F3" s="1181"/>
      <c r="G3" s="1181"/>
      <c r="H3" s="1181"/>
    </row>
    <row r="4" spans="1:10" x14ac:dyDescent="0.3">
      <c r="E4" s="247"/>
      <c r="F4" s="248"/>
      <c r="G4" s="1178" t="s">
        <v>292</v>
      </c>
      <c r="H4" s="1178"/>
    </row>
    <row r="6" spans="1:10" x14ac:dyDescent="0.3">
      <c r="A6" s="1179" t="s">
        <v>296</v>
      </c>
      <c r="B6" s="1179"/>
      <c r="C6" s="1179"/>
      <c r="D6" s="1179"/>
      <c r="E6" s="1179"/>
      <c r="F6" s="1179"/>
      <c r="G6" s="1179"/>
      <c r="H6" s="1179"/>
      <c r="I6" s="532"/>
      <c r="J6" s="532"/>
    </row>
    <row r="7" spans="1:10" x14ac:dyDescent="0.3">
      <c r="A7" s="1532" t="s">
        <v>765</v>
      </c>
      <c r="B7" s="1532"/>
      <c r="C7" s="1532"/>
      <c r="D7" s="1532"/>
      <c r="E7" s="1532"/>
      <c r="F7" s="1532"/>
      <c r="G7" s="1532"/>
      <c r="H7" s="1532"/>
    </row>
    <row r="9" spans="1:10" ht="40.200000000000003" x14ac:dyDescent="0.3">
      <c r="A9" s="486" t="s">
        <v>212</v>
      </c>
      <c r="B9" s="1570" t="s">
        <v>213</v>
      </c>
      <c r="C9" s="1570"/>
      <c r="D9" s="1570"/>
      <c r="E9" s="1570"/>
      <c r="F9" s="486" t="s">
        <v>214</v>
      </c>
      <c r="G9" s="486" t="s">
        <v>215</v>
      </c>
      <c r="H9" s="486" t="s">
        <v>216</v>
      </c>
    </row>
    <row r="10" spans="1:10" ht="24.6" customHeight="1" x14ac:dyDescent="0.3">
      <c r="A10" s="207">
        <v>1</v>
      </c>
      <c r="B10" s="1576" t="s">
        <v>764</v>
      </c>
      <c r="C10" s="1576"/>
      <c r="D10" s="1576"/>
      <c r="E10" s="1576"/>
      <c r="F10" s="468" t="s">
        <v>177</v>
      </c>
      <c r="G10" s="471">
        <f>H10*12</f>
        <v>0</v>
      </c>
      <c r="H10" s="471">
        <f>ROUND(239.2*Характеристика!I12,2)</f>
        <v>0</v>
      </c>
    </row>
    <row r="11" spans="1:10" ht="35.4" customHeight="1" x14ac:dyDescent="0.3">
      <c r="A11" s="207">
        <v>2</v>
      </c>
      <c r="B11" s="1425" t="s">
        <v>636</v>
      </c>
      <c r="C11" s="1425"/>
      <c r="D11" s="1425"/>
      <c r="E11" s="1425"/>
      <c r="F11" s="468" t="s">
        <v>177</v>
      </c>
      <c r="G11" s="471">
        <f>H11*12</f>
        <v>0</v>
      </c>
      <c r="H11" s="471">
        <f>H10*розрахунок!D40/100</f>
        <v>0</v>
      </c>
    </row>
    <row r="12" spans="1:10" x14ac:dyDescent="0.3">
      <c r="A12" s="207">
        <v>3</v>
      </c>
      <c r="B12" s="1425" t="s">
        <v>499</v>
      </c>
      <c r="C12" s="1425"/>
      <c r="D12" s="1425"/>
      <c r="E12" s="1425"/>
      <c r="F12" s="468" t="s">
        <v>177</v>
      </c>
      <c r="G12" s="471">
        <f>H12*12</f>
        <v>0</v>
      </c>
      <c r="H12" s="471">
        <f>H24</f>
        <v>0</v>
      </c>
    </row>
    <row r="13" spans="1:10" x14ac:dyDescent="0.3">
      <c r="A13" s="207">
        <v>4</v>
      </c>
      <c r="B13" s="1425" t="s">
        <v>485</v>
      </c>
      <c r="C13" s="1425"/>
      <c r="D13" s="1425"/>
      <c r="E13" s="1425"/>
      <c r="F13" s="468" t="s">
        <v>177</v>
      </c>
      <c r="G13" s="471">
        <f>H13*12</f>
        <v>0</v>
      </c>
      <c r="H13" s="471">
        <f>ROUND(5.19*Характеристика!I12,2)</f>
        <v>0</v>
      </c>
    </row>
    <row r="14" spans="1:10" x14ac:dyDescent="0.3">
      <c r="A14" s="207">
        <v>5</v>
      </c>
      <c r="B14" s="1425" t="s">
        <v>486</v>
      </c>
      <c r="C14" s="1425"/>
      <c r="D14" s="1425"/>
      <c r="E14" s="1425"/>
      <c r="F14" s="468" t="s">
        <v>177</v>
      </c>
      <c r="G14" s="471">
        <f>H14*12</f>
        <v>0</v>
      </c>
      <c r="H14" s="471">
        <v>0</v>
      </c>
    </row>
    <row r="15" spans="1:10" x14ac:dyDescent="0.3">
      <c r="A15" s="207">
        <v>6</v>
      </c>
      <c r="B15" s="1570" t="s">
        <v>664</v>
      </c>
      <c r="C15" s="1570"/>
      <c r="D15" s="1570"/>
      <c r="E15" s="1570"/>
      <c r="F15" s="215" t="s">
        <v>177</v>
      </c>
      <c r="G15" s="583">
        <f>SUM(G10:G14)</f>
        <v>0</v>
      </c>
      <c r="H15" s="583">
        <f>SUM(H10:H14)</f>
        <v>0</v>
      </c>
    </row>
    <row r="16" spans="1:10" ht="15.6" x14ac:dyDescent="0.3">
      <c r="A16" s="207">
        <v>7</v>
      </c>
      <c r="B16" s="1571" t="s">
        <v>119</v>
      </c>
      <c r="C16" s="1571"/>
      <c r="D16" s="1571"/>
      <c r="E16" s="1571"/>
      <c r="F16" s="468" t="s">
        <v>219</v>
      </c>
      <c r="G16" s="1572">
        <f>Характеристика!N18</f>
        <v>2798.8</v>
      </c>
      <c r="H16" s="1420"/>
    </row>
    <row r="17" spans="1:8" x14ac:dyDescent="0.3">
      <c r="A17" s="207">
        <v>8</v>
      </c>
      <c r="B17" s="1191" t="s">
        <v>497</v>
      </c>
      <c r="C17" s="1173"/>
      <c r="D17" s="1173"/>
      <c r="E17" s="1173"/>
      <c r="F17" s="215" t="s">
        <v>177</v>
      </c>
      <c r="G17" s="1573">
        <f>H15/G16</f>
        <v>0</v>
      </c>
      <c r="H17" s="1574"/>
    </row>
    <row r="18" spans="1:8" x14ac:dyDescent="0.3">
      <c r="A18" s="178"/>
      <c r="B18" s="538"/>
      <c r="C18" s="178"/>
      <c r="D18" s="178"/>
      <c r="E18" s="178"/>
      <c r="F18" s="517"/>
      <c r="G18" s="582"/>
      <c r="H18" s="582"/>
    </row>
    <row r="19" spans="1:8" x14ac:dyDescent="0.3">
      <c r="A19" s="1562" t="s">
        <v>761</v>
      </c>
      <c r="B19" s="1575"/>
      <c r="C19" s="1575"/>
      <c r="D19" s="1575"/>
      <c r="E19" s="1575"/>
      <c r="F19" s="146"/>
      <c r="G19" s="146"/>
      <c r="H19" s="146"/>
    </row>
    <row r="20" spans="1:8" ht="132" x14ac:dyDescent="0.3">
      <c r="A20" s="1232" t="s">
        <v>273</v>
      </c>
      <c r="B20" s="1284"/>
      <c r="C20" s="227" t="s">
        <v>274</v>
      </c>
      <c r="D20" s="227" t="s">
        <v>492</v>
      </c>
      <c r="E20" s="226" t="s">
        <v>276</v>
      </c>
      <c r="F20" s="1232" t="s">
        <v>762</v>
      </c>
      <c r="G20" s="1231"/>
      <c r="H20" s="226" t="s">
        <v>763</v>
      </c>
    </row>
    <row r="21" spans="1:8" x14ac:dyDescent="0.3">
      <c r="A21" s="1232">
        <v>1</v>
      </c>
      <c r="B21" s="1284"/>
      <c r="C21" s="227">
        <v>2</v>
      </c>
      <c r="D21" s="227">
        <v>3</v>
      </c>
      <c r="E21" s="227">
        <v>4</v>
      </c>
      <c r="F21" s="1232">
        <v>5</v>
      </c>
      <c r="G21" s="1231"/>
      <c r="H21" s="226">
        <v>6</v>
      </c>
    </row>
    <row r="22" spans="1:8" ht="25.8" customHeight="1" x14ac:dyDescent="0.3">
      <c r="A22" s="1287" t="s">
        <v>279</v>
      </c>
      <c r="B22" s="1288"/>
      <c r="C22" s="399"/>
      <c r="D22" s="238"/>
      <c r="E22" s="463">
        <v>14.7</v>
      </c>
      <c r="F22" s="1289">
        <f>H10</f>
        <v>0</v>
      </c>
      <c r="G22" s="840"/>
      <c r="H22" s="238">
        <f>E22*F22/100</f>
        <v>0</v>
      </c>
    </row>
    <row r="23" spans="1:8" ht="30.6" customHeight="1" x14ac:dyDescent="0.3">
      <c r="A23" s="1287" t="s">
        <v>280</v>
      </c>
      <c r="B23" s="1288"/>
      <c r="C23" s="399"/>
      <c r="D23" s="238"/>
      <c r="E23" s="463">
        <v>23.3</v>
      </c>
      <c r="F23" s="1289">
        <f>H10+H11+H13+H14+H22</f>
        <v>0</v>
      </c>
      <c r="G23" s="840"/>
      <c r="H23" s="238">
        <f>E23*F23/100</f>
        <v>0</v>
      </c>
    </row>
    <row r="24" spans="1:8" ht="22.8" customHeight="1" x14ac:dyDescent="0.3">
      <c r="A24" s="1295" t="s">
        <v>281</v>
      </c>
      <c r="B24" s="1296"/>
      <c r="C24" s="400"/>
      <c r="D24" s="401"/>
      <c r="E24" s="464"/>
      <c r="F24" s="1297"/>
      <c r="G24" s="840"/>
      <c r="H24" s="401">
        <f>SUM(H22:H23)</f>
        <v>0</v>
      </c>
    </row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59"/>
  <sheetViews>
    <sheetView topLeftCell="A46" zoomScaleNormal="100" workbookViewId="0">
      <selection activeCell="C44" sqref="C44:C45"/>
    </sheetView>
  </sheetViews>
  <sheetFormatPr defaultRowHeight="15.6" x14ac:dyDescent="0.3"/>
  <cols>
    <col min="1" max="1" width="7.5546875" style="594" customWidth="1"/>
    <col min="2" max="2" width="76.109375" style="592" customWidth="1"/>
    <col min="3" max="3" width="48.5546875" style="592" customWidth="1"/>
    <col min="4" max="4" width="3.6640625" style="592" customWidth="1"/>
    <col min="5" max="22" width="8.88671875" style="592"/>
  </cols>
  <sheetData>
    <row r="1" spans="1:22" ht="40.799999999999997" customHeight="1" x14ac:dyDescent="0.3">
      <c r="A1" s="925" t="s">
        <v>824</v>
      </c>
      <c r="B1" s="925"/>
      <c r="C1" s="925"/>
    </row>
    <row r="3" spans="1:22" s="253" customFormat="1" ht="30" x14ac:dyDescent="0.3">
      <c r="A3" s="599" t="s">
        <v>11</v>
      </c>
      <c r="B3" s="600" t="s">
        <v>769</v>
      </c>
      <c r="C3" s="600" t="s">
        <v>770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ht="15" x14ac:dyDescent="0.3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3">
      <c r="A5" s="601">
        <v>1</v>
      </c>
      <c r="B5" s="924" t="s">
        <v>771</v>
      </c>
      <c r="C5" s="924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3">
      <c r="A6" s="602" t="s">
        <v>778</v>
      </c>
      <c r="B6" s="603" t="s">
        <v>772</v>
      </c>
      <c r="C6" s="604"/>
    </row>
    <row r="7" spans="1:22" x14ac:dyDescent="0.3">
      <c r="A7" s="605"/>
      <c r="B7" s="604" t="s">
        <v>825</v>
      </c>
      <c r="C7" s="604" t="s">
        <v>773</v>
      </c>
    </row>
    <row r="8" spans="1:22" x14ac:dyDescent="0.3">
      <c r="A8" s="605"/>
      <c r="B8" s="604" t="s">
        <v>774</v>
      </c>
      <c r="C8" s="604" t="s">
        <v>791</v>
      </c>
    </row>
    <row r="9" spans="1:22" x14ac:dyDescent="0.3">
      <c r="A9" s="605"/>
      <c r="B9" s="604" t="s">
        <v>604</v>
      </c>
      <c r="C9" s="604" t="s">
        <v>791</v>
      </c>
    </row>
    <row r="10" spans="1:22" x14ac:dyDescent="0.3">
      <c r="A10" s="605"/>
      <c r="B10" s="604" t="s">
        <v>775</v>
      </c>
      <c r="C10" s="604" t="s">
        <v>791</v>
      </c>
    </row>
    <row r="11" spans="1:22" x14ac:dyDescent="0.3">
      <c r="A11" s="605"/>
      <c r="B11" s="604" t="s">
        <v>611</v>
      </c>
      <c r="C11" s="604" t="s">
        <v>791</v>
      </c>
    </row>
    <row r="12" spans="1:22" x14ac:dyDescent="0.3">
      <c r="A12" s="605"/>
      <c r="B12" s="604" t="s">
        <v>776</v>
      </c>
      <c r="C12" s="604" t="s">
        <v>791</v>
      </c>
    </row>
    <row r="13" spans="1:22" x14ac:dyDescent="0.3">
      <c r="A13" s="602" t="s">
        <v>777</v>
      </c>
      <c r="B13" s="603" t="s">
        <v>779</v>
      </c>
      <c r="C13" s="604"/>
    </row>
    <row r="14" spans="1:22" ht="30.6" x14ac:dyDescent="0.3">
      <c r="A14" s="605"/>
      <c r="B14" s="606" t="s">
        <v>781</v>
      </c>
      <c r="C14" s="604" t="s">
        <v>773</v>
      </c>
    </row>
    <row r="15" spans="1:22" x14ac:dyDescent="0.3">
      <c r="A15" s="605"/>
      <c r="B15" s="604" t="s">
        <v>780</v>
      </c>
      <c r="C15" s="604" t="s">
        <v>799</v>
      </c>
    </row>
    <row r="16" spans="1:22" x14ac:dyDescent="0.3">
      <c r="A16" s="605"/>
      <c r="B16" s="604" t="s">
        <v>782</v>
      </c>
      <c r="C16" s="604" t="s">
        <v>799</v>
      </c>
    </row>
    <row r="17" spans="1:3" x14ac:dyDescent="0.3">
      <c r="A17" s="605"/>
      <c r="B17" s="604" t="s">
        <v>783</v>
      </c>
      <c r="C17" s="604" t="s">
        <v>799</v>
      </c>
    </row>
    <row r="18" spans="1:3" x14ac:dyDescent="0.3">
      <c r="A18" s="605"/>
      <c r="B18" s="604" t="s">
        <v>784</v>
      </c>
      <c r="C18" s="604" t="s">
        <v>799</v>
      </c>
    </row>
    <row r="19" spans="1:3" x14ac:dyDescent="0.3">
      <c r="A19" s="605"/>
      <c r="B19" s="604" t="s">
        <v>787</v>
      </c>
      <c r="C19" s="604" t="s">
        <v>791</v>
      </c>
    </row>
    <row r="20" spans="1:3" hidden="1" x14ac:dyDescent="0.3">
      <c r="A20" s="602" t="s">
        <v>785</v>
      </c>
      <c r="B20" s="603" t="s">
        <v>786</v>
      </c>
      <c r="C20" s="604"/>
    </row>
    <row r="21" spans="1:3" hidden="1" x14ac:dyDescent="0.3">
      <c r="A21" s="605"/>
      <c r="B21" s="604" t="s">
        <v>788</v>
      </c>
      <c r="C21" s="604" t="s">
        <v>789</v>
      </c>
    </row>
    <row r="22" spans="1:3" hidden="1" x14ac:dyDescent="0.3">
      <c r="A22" s="605"/>
      <c r="B22" s="604" t="s">
        <v>790</v>
      </c>
      <c r="C22" s="604" t="s">
        <v>791</v>
      </c>
    </row>
    <row r="23" spans="1:3" hidden="1" x14ac:dyDescent="0.3">
      <c r="A23" s="600"/>
      <c r="B23" s="604" t="s">
        <v>792</v>
      </c>
      <c r="C23" s="604" t="s">
        <v>791</v>
      </c>
    </row>
    <row r="24" spans="1:3" x14ac:dyDescent="0.3">
      <c r="A24" s="600"/>
      <c r="B24" s="604" t="s">
        <v>826</v>
      </c>
      <c r="C24" s="604" t="s">
        <v>827</v>
      </c>
    </row>
    <row r="25" spans="1:3" x14ac:dyDescent="0.3">
      <c r="A25" s="602" t="s">
        <v>793</v>
      </c>
      <c r="B25" s="603" t="s">
        <v>794</v>
      </c>
      <c r="C25" s="604"/>
    </row>
    <row r="26" spans="1:3" x14ac:dyDescent="0.3">
      <c r="A26" s="600"/>
      <c r="B26" s="604" t="s">
        <v>795</v>
      </c>
      <c r="C26" s="604" t="s">
        <v>909</v>
      </c>
    </row>
    <row r="27" spans="1:3" x14ac:dyDescent="0.3">
      <c r="A27" s="600"/>
      <c r="B27" s="604" t="s">
        <v>796</v>
      </c>
      <c r="C27" s="604" t="s">
        <v>938</v>
      </c>
    </row>
    <row r="28" spans="1:3" x14ac:dyDescent="0.3">
      <c r="A28" s="600"/>
      <c r="B28" s="604" t="s">
        <v>797</v>
      </c>
      <c r="C28" s="604" t="s">
        <v>938</v>
      </c>
    </row>
    <row r="29" spans="1:3" x14ac:dyDescent="0.3">
      <c r="A29" s="600"/>
      <c r="B29" s="604" t="s">
        <v>798</v>
      </c>
      <c r="C29" s="604" t="s">
        <v>909</v>
      </c>
    </row>
    <row r="30" spans="1:3" x14ac:dyDescent="0.3">
      <c r="A30" s="600"/>
      <c r="B30" s="604" t="s">
        <v>800</v>
      </c>
      <c r="C30" s="604" t="s">
        <v>791</v>
      </c>
    </row>
    <row r="31" spans="1:3" x14ac:dyDescent="0.3">
      <c r="A31" s="600"/>
      <c r="B31" s="604" t="s">
        <v>910</v>
      </c>
      <c r="C31" s="604" t="s">
        <v>911</v>
      </c>
    </row>
    <row r="32" spans="1:3" x14ac:dyDescent="0.3">
      <c r="A32" s="600"/>
      <c r="B32" s="604" t="s">
        <v>801</v>
      </c>
      <c r="C32" s="604" t="s">
        <v>791</v>
      </c>
    </row>
    <row r="33" spans="1:22" x14ac:dyDescent="0.3">
      <c r="A33" s="600"/>
      <c r="B33" s="604" t="s">
        <v>802</v>
      </c>
      <c r="C33" s="604" t="s">
        <v>939</v>
      </c>
    </row>
    <row r="34" spans="1:22" x14ac:dyDescent="0.3">
      <c r="A34" s="600"/>
      <c r="B34" s="604" t="s">
        <v>803</v>
      </c>
      <c r="C34" s="604" t="s">
        <v>791</v>
      </c>
    </row>
    <row r="35" spans="1:22" hidden="1" x14ac:dyDescent="0.3">
      <c r="A35" s="600"/>
      <c r="B35" s="604" t="s">
        <v>804</v>
      </c>
      <c r="C35" s="604"/>
    </row>
    <row r="36" spans="1:22" x14ac:dyDescent="0.3">
      <c r="A36" s="600"/>
      <c r="B36" s="604" t="s">
        <v>805</v>
      </c>
      <c r="C36" s="604" t="s">
        <v>799</v>
      </c>
    </row>
    <row r="37" spans="1:22" x14ac:dyDescent="0.3">
      <c r="A37" s="602" t="s">
        <v>806</v>
      </c>
      <c r="B37" s="603" t="s">
        <v>807</v>
      </c>
      <c r="C37" s="604"/>
    </row>
    <row r="38" spans="1:22" x14ac:dyDescent="0.3">
      <c r="A38" s="600"/>
      <c r="B38" s="604" t="s">
        <v>941</v>
      </c>
      <c r="C38" s="604" t="s">
        <v>909</v>
      </c>
    </row>
    <row r="39" spans="1:22" ht="45.6" x14ac:dyDescent="0.3">
      <c r="A39" s="600"/>
      <c r="B39" s="606" t="s">
        <v>940</v>
      </c>
      <c r="C39" s="604" t="s">
        <v>909</v>
      </c>
    </row>
    <row r="40" spans="1:22" ht="30.6" x14ac:dyDescent="0.3">
      <c r="A40" s="600"/>
      <c r="B40" s="606" t="s">
        <v>942</v>
      </c>
      <c r="C40" s="604" t="s">
        <v>943</v>
      </c>
    </row>
    <row r="41" spans="1:22" s="12" customFormat="1" hidden="1" x14ac:dyDescent="0.3">
      <c r="A41" s="601">
        <v>2</v>
      </c>
      <c r="B41" s="607" t="s">
        <v>0</v>
      </c>
      <c r="C41" s="607" t="s">
        <v>809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hidden="1" x14ac:dyDescent="0.3">
      <c r="A42" s="601">
        <v>3</v>
      </c>
      <c r="B42" s="607" t="s">
        <v>808</v>
      </c>
      <c r="C42" s="607" t="s">
        <v>810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x14ac:dyDescent="0.3">
      <c r="A43" s="601">
        <v>4</v>
      </c>
      <c r="B43" s="607" t="s">
        <v>944</v>
      </c>
      <c r="C43" s="604" t="s">
        <v>799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169.8" customHeight="1" x14ac:dyDescent="0.3">
      <c r="A44" s="601">
        <v>5</v>
      </c>
      <c r="B44" s="680" t="s">
        <v>2</v>
      </c>
      <c r="C44" s="930"/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124.8" customHeight="1" x14ac:dyDescent="0.3">
      <c r="A45" s="601">
        <v>6</v>
      </c>
      <c r="B45" s="680" t="s">
        <v>945</v>
      </c>
      <c r="C45" s="931"/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x14ac:dyDescent="0.3">
      <c r="A46" s="601">
        <v>7</v>
      </c>
      <c r="B46" s="926" t="s">
        <v>4</v>
      </c>
      <c r="C46" s="927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x14ac:dyDescent="0.3">
      <c r="A47" s="600"/>
      <c r="B47" s="604" t="s">
        <v>813</v>
      </c>
      <c r="C47" s="604" t="s">
        <v>811</v>
      </c>
    </row>
    <row r="48" spans="1:22" x14ac:dyDescent="0.3">
      <c r="A48" s="600"/>
      <c r="B48" s="604" t="s">
        <v>812</v>
      </c>
      <c r="C48" s="604" t="s">
        <v>814</v>
      </c>
    </row>
    <row r="49" spans="1:22" x14ac:dyDescent="0.3">
      <c r="A49" s="600"/>
      <c r="B49" s="604" t="s">
        <v>252</v>
      </c>
      <c r="C49" s="604" t="s">
        <v>815</v>
      </c>
    </row>
    <row r="50" spans="1:22" x14ac:dyDescent="0.3">
      <c r="A50" s="600"/>
      <c r="B50" s="604" t="s">
        <v>816</v>
      </c>
      <c r="C50" s="604" t="s">
        <v>817</v>
      </c>
    </row>
    <row r="51" spans="1:22" x14ac:dyDescent="0.3">
      <c r="A51" s="600"/>
      <c r="B51" s="604" t="s">
        <v>818</v>
      </c>
      <c r="C51" s="604" t="s">
        <v>811</v>
      </c>
    </row>
    <row r="52" spans="1:22" s="598" customFormat="1" ht="18" hidden="1" customHeight="1" x14ac:dyDescent="0.3">
      <c r="A52" s="609">
        <v>8</v>
      </c>
      <c r="B52" s="928" t="s">
        <v>5</v>
      </c>
      <c r="C52" s="929"/>
      <c r="D52" s="597"/>
      <c r="E52" s="597"/>
      <c r="F52" s="597"/>
      <c r="G52" s="597"/>
      <c r="H52" s="597"/>
      <c r="I52" s="597"/>
      <c r="J52" s="597"/>
      <c r="K52" s="597"/>
      <c r="L52" s="597"/>
      <c r="M52" s="597"/>
      <c r="N52" s="597"/>
      <c r="O52" s="597"/>
      <c r="P52" s="597"/>
      <c r="Q52" s="597"/>
      <c r="R52" s="597"/>
      <c r="S52" s="597"/>
      <c r="T52" s="597"/>
      <c r="U52" s="597"/>
      <c r="V52" s="597"/>
    </row>
    <row r="53" spans="1:22" hidden="1" x14ac:dyDescent="0.3">
      <c r="A53" s="600"/>
      <c r="B53" s="604" t="s">
        <v>819</v>
      </c>
      <c r="C53" s="604"/>
    </row>
    <row r="54" spans="1:22" s="12" customFormat="1" ht="46.8" x14ac:dyDescent="0.3">
      <c r="A54" s="601">
        <v>8</v>
      </c>
      <c r="B54" s="608" t="s">
        <v>937</v>
      </c>
      <c r="C54" s="607"/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96"/>
      <c r="V54" s="596"/>
    </row>
    <row r="55" spans="1:22" x14ac:dyDescent="0.3">
      <c r="A55" s="600"/>
      <c r="B55" s="604" t="s">
        <v>820</v>
      </c>
      <c r="C55" s="604" t="s">
        <v>947</v>
      </c>
    </row>
    <row r="56" spans="1:22" x14ac:dyDescent="0.3">
      <c r="A56" s="600"/>
      <c r="B56" s="604" t="s">
        <v>821</v>
      </c>
      <c r="C56" s="604" t="s">
        <v>947</v>
      </c>
    </row>
    <row r="57" spans="1:22" x14ac:dyDescent="0.3">
      <c r="A57" s="600"/>
      <c r="B57" s="604" t="s">
        <v>822</v>
      </c>
      <c r="C57" s="604" t="s">
        <v>947</v>
      </c>
    </row>
    <row r="58" spans="1:22" s="12" customFormat="1" x14ac:dyDescent="0.3">
      <c r="A58" s="601">
        <v>9</v>
      </c>
      <c r="B58" s="607" t="s">
        <v>6</v>
      </c>
      <c r="C58" s="604" t="s">
        <v>823</v>
      </c>
      <c r="D58" s="596"/>
      <c r="E58" s="596"/>
      <c r="F58" s="596"/>
      <c r="G58" s="596"/>
      <c r="H58" s="596"/>
      <c r="I58" s="596"/>
      <c r="J58" s="596"/>
      <c r="K58" s="596"/>
      <c r="L58" s="596"/>
      <c r="M58" s="596"/>
      <c r="N58" s="596"/>
      <c r="O58" s="596"/>
      <c r="P58" s="596"/>
      <c r="Q58" s="596"/>
      <c r="R58" s="596"/>
      <c r="S58" s="596"/>
      <c r="T58" s="596"/>
      <c r="U58" s="596"/>
      <c r="V58" s="596"/>
    </row>
    <row r="59" spans="1:22" s="12" customFormat="1" ht="46.8" x14ac:dyDescent="0.3">
      <c r="A59" s="601">
        <v>10</v>
      </c>
      <c r="B59" s="608" t="s">
        <v>946</v>
      </c>
      <c r="C59" s="666" t="s">
        <v>810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</sheetData>
  <mergeCells count="5">
    <mergeCell ref="B5:C5"/>
    <mergeCell ref="A1:C1"/>
    <mergeCell ref="B46:C46"/>
    <mergeCell ref="B52:C52"/>
    <mergeCell ref="C44:C45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topLeftCell="A4" zoomScaleNormal="100" workbookViewId="0">
      <selection activeCell="C110" sqref="C110"/>
    </sheetView>
  </sheetViews>
  <sheetFormatPr defaultRowHeight="14.4" x14ac:dyDescent="0.3"/>
  <cols>
    <col min="1" max="1" width="21.44140625" customWidth="1"/>
    <col min="2" max="3" width="13.5546875" customWidth="1"/>
    <col min="4" max="4" width="12.21875" customWidth="1"/>
    <col min="5" max="5" width="9.44140625" customWidth="1"/>
  </cols>
  <sheetData>
    <row r="2" spans="1:10" x14ac:dyDescent="0.3">
      <c r="A2" s="932" t="str">
        <f>[1]Калькуляция!A10</f>
        <v>№п\п</v>
      </c>
      <c r="B2" s="933"/>
      <c r="C2" s="933"/>
      <c r="D2" s="257"/>
      <c r="E2" s="257"/>
      <c r="F2" s="257" t="s">
        <v>302</v>
      </c>
      <c r="G2" s="257"/>
      <c r="H2" s="257"/>
      <c r="I2" s="257"/>
    </row>
    <row r="3" spans="1:10" x14ac:dyDescent="0.3">
      <c r="A3" s="934" t="s">
        <v>303</v>
      </c>
      <c r="B3" s="934"/>
      <c r="C3" s="935"/>
      <c r="D3" s="935"/>
      <c r="E3" s="935"/>
      <c r="F3" s="935"/>
      <c r="G3" s="935"/>
      <c r="H3" s="935"/>
      <c r="I3" s="935"/>
    </row>
    <row r="4" spans="1:10" ht="15" thickBot="1" x14ac:dyDescent="0.35">
      <c r="A4" s="934" t="s">
        <v>304</v>
      </c>
      <c r="B4" s="934"/>
      <c r="C4" s="935"/>
      <c r="D4" s="935"/>
      <c r="E4" s="935"/>
      <c r="F4" s="935"/>
      <c r="G4" s="935"/>
      <c r="H4" s="935"/>
      <c r="I4" s="935"/>
    </row>
    <row r="5" spans="1:10" x14ac:dyDescent="0.3">
      <c r="A5" s="258"/>
      <c r="B5" s="936" t="s">
        <v>305</v>
      </c>
      <c r="C5" s="937"/>
      <c r="D5" s="937"/>
      <c r="E5" s="938"/>
      <c r="F5" s="939" t="s">
        <v>306</v>
      </c>
      <c r="G5" s="940"/>
      <c r="H5" s="939" t="s">
        <v>218</v>
      </c>
      <c r="I5" s="940"/>
    </row>
    <row r="6" spans="1:10" ht="66" x14ac:dyDescent="0.3">
      <c r="A6" s="259"/>
      <c r="B6" s="260" t="s">
        <v>307</v>
      </c>
      <c r="C6" s="261" t="s">
        <v>308</v>
      </c>
      <c r="D6" s="261" t="s">
        <v>309</v>
      </c>
      <c r="E6" s="262" t="s">
        <v>310</v>
      </c>
      <c r="F6" s="260" t="s">
        <v>311</v>
      </c>
      <c r="G6" s="262" t="s">
        <v>312</v>
      </c>
      <c r="H6" s="260" t="s">
        <v>311</v>
      </c>
      <c r="I6" s="262" t="s">
        <v>313</v>
      </c>
    </row>
    <row r="7" spans="1:10" x14ac:dyDescent="0.3">
      <c r="A7" s="263" t="s">
        <v>314</v>
      </c>
      <c r="B7" s="264">
        <f>I33</f>
        <v>2367.7550000000001</v>
      </c>
      <c r="C7" s="265">
        <f>прибирання!E43</f>
        <v>0.27</v>
      </c>
      <c r="D7" s="266">
        <f t="shared" ref="D7:D13" si="0">B7*C7</f>
        <v>639.29385000000002</v>
      </c>
      <c r="E7" s="267">
        <f t="shared" ref="E7:E13" si="1">D7/12</f>
        <v>53.274487499999999</v>
      </c>
      <c r="F7" s="667">
        <f>H113+I113+H114+H115</f>
        <v>222.50525999999999</v>
      </c>
      <c r="G7" s="268">
        <f t="shared" ref="G7:G13" si="2">F7/12</f>
        <v>18.542104999999999</v>
      </c>
      <c r="H7" s="264">
        <f t="shared" ref="H7:I13" si="3">D7+F7</f>
        <v>861.79911000000004</v>
      </c>
      <c r="I7" s="268">
        <f t="shared" si="3"/>
        <v>71.816592499999999</v>
      </c>
      <c r="J7" t="s">
        <v>933</v>
      </c>
    </row>
    <row r="8" spans="1:10" x14ac:dyDescent="0.3">
      <c r="A8" s="263" t="s">
        <v>315</v>
      </c>
      <c r="B8" s="269">
        <f>I33</f>
        <v>2367.7550000000001</v>
      </c>
      <c r="C8" s="270">
        <f>Сніг!E57</f>
        <v>0.03</v>
      </c>
      <c r="D8" s="46">
        <f t="shared" si="0"/>
        <v>71.032650000000004</v>
      </c>
      <c r="E8" s="271">
        <f t="shared" si="1"/>
        <v>5.9193875</v>
      </c>
      <c r="F8" s="269">
        <v>0</v>
      </c>
      <c r="G8" s="272">
        <f t="shared" si="2"/>
        <v>0</v>
      </c>
      <c r="H8" s="269">
        <f t="shared" si="3"/>
        <v>71.032650000000004</v>
      </c>
      <c r="I8" s="272">
        <f t="shared" si="3"/>
        <v>5.9193875</v>
      </c>
    </row>
    <row r="9" spans="1:10" ht="20.399999999999999" customHeight="1" x14ac:dyDescent="0.3">
      <c r="A9" s="273" t="s">
        <v>316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3">
      <c r="A10" s="263" t="s">
        <v>317</v>
      </c>
      <c r="B10" s="264">
        <f>I59</f>
        <v>1391.3333333333335</v>
      </c>
      <c r="C10" s="665">
        <f>'ТО внутріньобудин'!F117</f>
        <v>6.7601856497742099E-2</v>
      </c>
      <c r="D10" s="266">
        <f t="shared" si="0"/>
        <v>94.056716340525185</v>
      </c>
      <c r="E10" s="267">
        <f t="shared" si="1"/>
        <v>7.8380596950437651</v>
      </c>
      <c r="F10" s="264">
        <f>[1]Расчет_7!G127</f>
        <v>0</v>
      </c>
      <c r="G10" s="268">
        <f t="shared" si="2"/>
        <v>0</v>
      </c>
      <c r="H10" s="264">
        <f t="shared" si="3"/>
        <v>94.056716340525185</v>
      </c>
      <c r="I10" s="268">
        <f t="shared" si="3"/>
        <v>7.8380596950437651</v>
      </c>
    </row>
    <row r="11" spans="1:10" x14ac:dyDescent="0.3">
      <c r="A11" s="263" t="s">
        <v>318</v>
      </c>
      <c r="B11" s="264">
        <f>I74</f>
        <v>1241.5366666666666</v>
      </c>
      <c r="C11" s="665">
        <f>'ТО внутріньобудин'!F118</f>
        <v>6.1452584044154539E-2</v>
      </c>
      <c r="D11" s="266">
        <f t="shared" si="0"/>
        <v>76.295636352232805</v>
      </c>
      <c r="E11" s="267">
        <f t="shared" si="1"/>
        <v>6.3579696960194001</v>
      </c>
      <c r="F11" s="264">
        <f>I190</f>
        <v>0</v>
      </c>
      <c r="G11" s="268">
        <f t="shared" si="2"/>
        <v>0</v>
      </c>
      <c r="H11" s="264">
        <f t="shared" si="3"/>
        <v>76.295636352232805</v>
      </c>
      <c r="I11" s="268">
        <f t="shared" si="3"/>
        <v>6.3579696960194001</v>
      </c>
    </row>
    <row r="12" spans="1:10" ht="15" thickBot="1" x14ac:dyDescent="0.35">
      <c r="A12" s="274" t="s">
        <v>319</v>
      </c>
      <c r="B12" s="275">
        <f>I79</f>
        <v>644.66666666666663</v>
      </c>
      <c r="C12" s="653">
        <f>прибирання!E44</f>
        <v>6.3221274460612143E-3</v>
      </c>
      <c r="D12" s="276">
        <f t="shared" si="0"/>
        <v>4.0756648268941289</v>
      </c>
      <c r="E12" s="277">
        <f t="shared" si="1"/>
        <v>0.33963873557451074</v>
      </c>
      <c r="F12" s="278">
        <v>0</v>
      </c>
      <c r="G12" s="268">
        <f t="shared" si="2"/>
        <v>0</v>
      </c>
      <c r="H12" s="264">
        <f t="shared" si="3"/>
        <v>4.0756648268941289</v>
      </c>
      <c r="I12" s="268">
        <f t="shared" si="3"/>
        <v>0.33963873557451074</v>
      </c>
      <c r="J12" t="s">
        <v>933</v>
      </c>
    </row>
    <row r="13" spans="1:10" ht="15" thickBot="1" x14ac:dyDescent="0.35">
      <c r="A13" s="279" t="s">
        <v>198</v>
      </c>
      <c r="B13" s="265">
        <f>I88</f>
        <v>2077.1666666666665</v>
      </c>
      <c r="C13" s="668">
        <f>вентканали!E36</f>
        <v>1.7999999999999999E-2</v>
      </c>
      <c r="D13" s="276">
        <f t="shared" si="0"/>
        <v>37.388999999999996</v>
      </c>
      <c r="E13" s="277">
        <f t="shared" si="1"/>
        <v>3.1157499999999998</v>
      </c>
      <c r="F13" s="280">
        <v>0</v>
      </c>
      <c r="G13" s="281">
        <f t="shared" si="2"/>
        <v>0</v>
      </c>
      <c r="H13" s="282">
        <f t="shared" si="3"/>
        <v>37.388999999999996</v>
      </c>
      <c r="I13" s="281">
        <f t="shared" si="3"/>
        <v>3.1157499999999998</v>
      </c>
    </row>
    <row r="14" spans="1:10" ht="15" thickBot="1" x14ac:dyDescent="0.35">
      <c r="A14" s="943" t="s">
        <v>218</v>
      </c>
      <c r="B14" s="944"/>
      <c r="C14" s="945"/>
      <c r="D14" s="283">
        <f>SUM(D7:D12)</f>
        <v>884.75451751965215</v>
      </c>
      <c r="E14" s="284">
        <f>SUM(E7:E12)</f>
        <v>73.729543126637665</v>
      </c>
      <c r="F14" s="285">
        <f>SUM(F7:F13)</f>
        <v>222.50525999999999</v>
      </c>
      <c r="G14" s="286">
        <f>SUM(G7:G13)</f>
        <v>18.542104999999999</v>
      </c>
      <c r="H14" s="287">
        <f>SUM(H7:H13)</f>
        <v>1144.648777519652</v>
      </c>
      <c r="I14" s="286">
        <f>SUM(I7:I13)</f>
        <v>95.387398126637677</v>
      </c>
    </row>
    <row r="15" spans="1:10" x14ac:dyDescent="0.3">
      <c r="A15" s="946" t="s">
        <v>320</v>
      </c>
      <c r="B15" s="947"/>
      <c r="C15" s="948"/>
      <c r="D15" s="288"/>
      <c r="E15" s="288"/>
      <c r="F15" s="289"/>
      <c r="G15" s="288"/>
      <c r="H15" s="289"/>
      <c r="I15" s="138"/>
    </row>
    <row r="16" spans="1:10" x14ac:dyDescent="0.3">
      <c r="A16" s="949" t="s">
        <v>321</v>
      </c>
      <c r="B16" s="950"/>
      <c r="C16" s="951"/>
      <c r="D16" s="288"/>
      <c r="E16" s="288"/>
      <c r="F16" s="289"/>
      <c r="G16" s="288"/>
      <c r="H16" s="289"/>
      <c r="I16" s="138"/>
    </row>
    <row r="17" spans="1:9" ht="15" thickBot="1" x14ac:dyDescent="0.35">
      <c r="A17" s="952" t="s">
        <v>322</v>
      </c>
      <c r="B17" s="952"/>
      <c r="C17" s="953"/>
      <c r="D17" s="953"/>
      <c r="E17" s="953"/>
      <c r="F17" s="953"/>
      <c r="G17" s="953"/>
      <c r="H17" s="953"/>
      <c r="I17" s="953"/>
    </row>
    <row r="18" spans="1:9" ht="66.599999999999994" thickBot="1" x14ac:dyDescent="0.35">
      <c r="A18" s="290" t="s">
        <v>323</v>
      </c>
      <c r="B18" s="954" t="s">
        <v>324</v>
      </c>
      <c r="C18" s="955"/>
      <c r="D18" s="290" t="s">
        <v>325</v>
      </c>
      <c r="E18" s="290" t="s">
        <v>326</v>
      </c>
      <c r="F18" s="290" t="s">
        <v>327</v>
      </c>
      <c r="G18" s="290" t="s">
        <v>328</v>
      </c>
      <c r="H18" s="291" t="s">
        <v>329</v>
      </c>
      <c r="I18" s="290" t="s">
        <v>330</v>
      </c>
    </row>
    <row r="19" spans="1:9" x14ac:dyDescent="0.3">
      <c r="A19" s="956" t="s">
        <v>193</v>
      </c>
      <c r="B19" s="958" t="s">
        <v>331</v>
      </c>
      <c r="C19" s="959"/>
      <c r="D19" s="292">
        <v>12</v>
      </c>
      <c r="E19" s="292" t="s">
        <v>164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3">
      <c r="A20" s="956"/>
      <c r="B20" s="941" t="s">
        <v>333</v>
      </c>
      <c r="C20" s="942"/>
      <c r="D20" s="295">
        <v>1</v>
      </c>
      <c r="E20" s="295" t="s">
        <v>164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3">
      <c r="A21" s="956"/>
      <c r="B21" s="941" t="s">
        <v>334</v>
      </c>
      <c r="C21" s="942"/>
      <c r="D21" s="295">
        <v>1</v>
      </c>
      <c r="E21" s="295" t="s">
        <v>164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3">
      <c r="A22" s="956"/>
      <c r="B22" s="941" t="s">
        <v>335</v>
      </c>
      <c r="C22" s="942"/>
      <c r="D22" s="295">
        <v>1</v>
      </c>
      <c r="E22" s="295" t="s">
        <v>164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3">
      <c r="A23" s="956"/>
      <c r="B23" s="941" t="s">
        <v>336</v>
      </c>
      <c r="C23" s="942"/>
      <c r="D23" s="295">
        <v>12</v>
      </c>
      <c r="E23" s="295" t="s">
        <v>164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3">
      <c r="A24" s="956"/>
      <c r="B24" s="941" t="s">
        <v>479</v>
      </c>
      <c r="C24" s="942"/>
      <c r="D24" s="296">
        <v>1</v>
      </c>
      <c r="E24" s="295" t="s">
        <v>164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3">
      <c r="A25" s="956"/>
      <c r="B25" s="941" t="s">
        <v>766</v>
      </c>
      <c r="C25" s="942"/>
      <c r="D25" s="295">
        <v>1</v>
      </c>
      <c r="E25" s="295" t="s">
        <v>338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3">
      <c r="A26" s="956"/>
      <c r="B26" s="941" t="s">
        <v>339</v>
      </c>
      <c r="C26" s="942"/>
      <c r="D26" s="295">
        <v>1</v>
      </c>
      <c r="E26" s="295" t="s">
        <v>338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3">
      <c r="A27" s="956"/>
      <c r="B27" s="941" t="s">
        <v>340</v>
      </c>
      <c r="C27" s="942"/>
      <c r="D27" s="295">
        <v>1</v>
      </c>
      <c r="E27" s="295" t="s">
        <v>164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3">
      <c r="A28" s="956"/>
      <c r="B28" s="941" t="s">
        <v>480</v>
      </c>
      <c r="C28" s="942"/>
      <c r="D28" s="295">
        <v>1</v>
      </c>
      <c r="E28" s="295" t="s">
        <v>338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3">
      <c r="A29" s="956"/>
      <c r="B29" s="941" t="s">
        <v>341</v>
      </c>
      <c r="C29" s="942"/>
      <c r="D29" s="295">
        <v>1</v>
      </c>
      <c r="E29" s="295" t="s">
        <v>164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3">
      <c r="A30" s="956"/>
      <c r="B30" s="941" t="s">
        <v>342</v>
      </c>
      <c r="C30" s="942"/>
      <c r="D30" s="295">
        <v>1</v>
      </c>
      <c r="E30" s="295" t="s">
        <v>164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3">
      <c r="A31" s="956"/>
      <c r="B31" s="941" t="s">
        <v>481</v>
      </c>
      <c r="C31" s="942"/>
      <c r="D31" s="362">
        <v>1</v>
      </c>
      <c r="E31" s="362" t="s">
        <v>164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" thickBot="1" x14ac:dyDescent="0.35">
      <c r="A32" s="956"/>
      <c r="B32" s="960" t="s">
        <v>343</v>
      </c>
      <c r="C32" s="961"/>
      <c r="D32" s="299">
        <v>1</v>
      </c>
      <c r="E32" s="299" t="s">
        <v>164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" thickBot="1" x14ac:dyDescent="0.35">
      <c r="A33" s="957"/>
      <c r="B33" s="962" t="s">
        <v>344</v>
      </c>
      <c r="C33" s="963"/>
      <c r="D33" s="963"/>
      <c r="E33" s="963"/>
      <c r="F33" s="963"/>
      <c r="G33" s="963"/>
      <c r="H33" s="964"/>
      <c r="I33" s="303">
        <f>SUM(I19:I32)</f>
        <v>2367.7550000000001</v>
      </c>
    </row>
    <row r="34" spans="1:9" x14ac:dyDescent="0.3">
      <c r="A34" s="965" t="s">
        <v>345</v>
      </c>
      <c r="B34" s="958" t="s">
        <v>334</v>
      </c>
      <c r="C34" s="959"/>
      <c r="D34" s="292">
        <v>1</v>
      </c>
      <c r="E34" s="292" t="s">
        <v>164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3">
      <c r="A35" s="956"/>
      <c r="B35" s="941" t="s">
        <v>346</v>
      </c>
      <c r="C35" s="942"/>
      <c r="D35" s="295">
        <v>1</v>
      </c>
      <c r="E35" s="295" t="s">
        <v>164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3">
      <c r="A36" s="956"/>
      <c r="B36" s="941" t="s">
        <v>332</v>
      </c>
      <c r="C36" s="942"/>
      <c r="D36" s="295">
        <v>1</v>
      </c>
      <c r="E36" s="295" t="s">
        <v>164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" thickBot="1" x14ac:dyDescent="0.35">
      <c r="A37" s="956"/>
      <c r="B37" s="960" t="s">
        <v>331</v>
      </c>
      <c r="C37" s="961"/>
      <c r="D37" s="299">
        <v>1</v>
      </c>
      <c r="E37" s="299" t="s">
        <v>164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3">
      <c r="A38" s="956"/>
      <c r="B38" s="958" t="s">
        <v>347</v>
      </c>
      <c r="C38" s="959"/>
      <c r="D38" s="292">
        <v>1</v>
      </c>
      <c r="E38" s="292" t="s">
        <v>164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3">
      <c r="A39" s="956"/>
      <c r="B39" s="941" t="s">
        <v>348</v>
      </c>
      <c r="C39" s="942"/>
      <c r="D39" s="296">
        <v>1</v>
      </c>
      <c r="E39" s="296" t="s">
        <v>164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" thickBot="1" x14ac:dyDescent="0.35">
      <c r="A40" s="956"/>
      <c r="B40" s="960" t="s">
        <v>339</v>
      </c>
      <c r="C40" s="961"/>
      <c r="D40" s="299">
        <v>1</v>
      </c>
      <c r="E40" s="299" t="s">
        <v>164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" thickBot="1" x14ac:dyDescent="0.35">
      <c r="A41" s="957"/>
      <c r="B41" s="966" t="s">
        <v>344</v>
      </c>
      <c r="C41" s="967"/>
      <c r="D41" s="967"/>
      <c r="E41" s="967"/>
      <c r="F41" s="967"/>
      <c r="G41" s="967"/>
      <c r="H41" s="968"/>
      <c r="I41" s="588">
        <f>SUM(I34:I40)</f>
        <v>560.64</v>
      </c>
    </row>
    <row r="42" spans="1:9" ht="66.599999999999994" thickBot="1" x14ac:dyDescent="0.35">
      <c r="A42" s="290" t="s">
        <v>323</v>
      </c>
      <c r="B42" s="954" t="s">
        <v>324</v>
      </c>
      <c r="C42" s="969"/>
      <c r="D42" s="290" t="s">
        <v>325</v>
      </c>
      <c r="E42" s="290" t="s">
        <v>326</v>
      </c>
      <c r="F42" s="290" t="s">
        <v>327</v>
      </c>
      <c r="G42" s="290" t="s">
        <v>328</v>
      </c>
      <c r="H42" s="291" t="s">
        <v>329</v>
      </c>
      <c r="I42" s="290" t="s">
        <v>330</v>
      </c>
    </row>
    <row r="43" spans="1:9" x14ac:dyDescent="0.3">
      <c r="A43" s="970" t="s">
        <v>196</v>
      </c>
      <c r="B43" s="958" t="s">
        <v>349</v>
      </c>
      <c r="C43" s="959"/>
      <c r="D43" s="292">
        <v>1</v>
      </c>
      <c r="E43" s="292" t="s">
        <v>164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3">
      <c r="A44" s="971"/>
      <c r="B44" s="941" t="s">
        <v>350</v>
      </c>
      <c r="C44" s="942"/>
      <c r="D44" s="295">
        <v>1</v>
      </c>
      <c r="E44" s="295" t="s">
        <v>164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3">
      <c r="A45" s="971"/>
      <c r="B45" s="941" t="s">
        <v>351</v>
      </c>
      <c r="C45" s="942"/>
      <c r="D45" s="295">
        <v>1</v>
      </c>
      <c r="E45" s="295" t="s">
        <v>164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3">
      <c r="A46" s="971"/>
      <c r="B46" s="973" t="s">
        <v>352</v>
      </c>
      <c r="C46" s="974"/>
      <c r="D46" s="295">
        <v>1</v>
      </c>
      <c r="E46" s="295" t="s">
        <v>164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3">
      <c r="A47" s="971"/>
      <c r="B47" s="941" t="s">
        <v>353</v>
      </c>
      <c r="C47" s="942"/>
      <c r="D47" s="295">
        <v>1</v>
      </c>
      <c r="E47" s="295" t="s">
        <v>164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3">
      <c r="A48" s="971"/>
      <c r="B48" s="941" t="s">
        <v>354</v>
      </c>
      <c r="C48" s="942"/>
      <c r="D48" s="295">
        <v>1</v>
      </c>
      <c r="E48" s="295" t="s">
        <v>164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3">
      <c r="A49" s="971"/>
      <c r="B49" s="941" t="s">
        <v>355</v>
      </c>
      <c r="C49" s="942"/>
      <c r="D49" s="295">
        <v>1</v>
      </c>
      <c r="E49" s="295" t="s">
        <v>164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3">
      <c r="A50" s="971"/>
      <c r="B50" s="941" t="s">
        <v>356</v>
      </c>
      <c r="C50" s="942"/>
      <c r="D50" s="295">
        <v>1</v>
      </c>
      <c r="E50" s="295" t="s">
        <v>164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" thickBot="1" x14ac:dyDescent="0.35">
      <c r="A51" s="971"/>
      <c r="B51" s="960" t="s">
        <v>357</v>
      </c>
      <c r="C51" s="961"/>
      <c r="D51" s="299">
        <v>1</v>
      </c>
      <c r="E51" s="299" t="s">
        <v>164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3">
      <c r="A52" s="971"/>
      <c r="B52" s="958" t="s">
        <v>358</v>
      </c>
      <c r="C52" s="959"/>
      <c r="D52" s="296">
        <v>1</v>
      </c>
      <c r="E52" s="296" t="s">
        <v>164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3">
      <c r="A53" s="971"/>
      <c r="B53" s="941" t="s">
        <v>348</v>
      </c>
      <c r="C53" s="942"/>
      <c r="D53" s="295">
        <v>1</v>
      </c>
      <c r="E53" s="295" t="s">
        <v>338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3">
      <c r="A54" s="971"/>
      <c r="B54" s="941" t="s">
        <v>337</v>
      </c>
      <c r="C54" s="942"/>
      <c r="D54" s="295">
        <v>1</v>
      </c>
      <c r="E54" s="295" t="s">
        <v>338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3">
      <c r="A55" s="971"/>
      <c r="B55" s="941" t="s">
        <v>359</v>
      </c>
      <c r="C55" s="942"/>
      <c r="D55" s="295">
        <v>1</v>
      </c>
      <c r="E55" s="295" t="s">
        <v>164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3">
      <c r="A56" s="971"/>
      <c r="B56" s="941" t="s">
        <v>360</v>
      </c>
      <c r="C56" s="942"/>
      <c r="D56" s="295">
        <v>1</v>
      </c>
      <c r="E56" s="295" t="s">
        <v>338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3">
      <c r="A57" s="971"/>
      <c r="B57" s="941" t="s">
        <v>361</v>
      </c>
      <c r="C57" s="942"/>
      <c r="D57" s="295">
        <v>1</v>
      </c>
      <c r="E57" s="295" t="s">
        <v>164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" thickBot="1" x14ac:dyDescent="0.35">
      <c r="A58" s="971"/>
      <c r="B58" s="975" t="s">
        <v>362</v>
      </c>
      <c r="C58" s="976"/>
      <c r="D58" s="364">
        <v>1</v>
      </c>
      <c r="E58" s="364" t="s">
        <v>164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" thickBot="1" x14ac:dyDescent="0.35">
      <c r="A59" s="972"/>
      <c r="B59" s="966" t="s">
        <v>344</v>
      </c>
      <c r="C59" s="967"/>
      <c r="D59" s="967"/>
      <c r="E59" s="967"/>
      <c r="F59" s="967"/>
      <c r="G59" s="967"/>
      <c r="H59" s="968"/>
      <c r="I59" s="590">
        <f>SUM(I43:I58)</f>
        <v>1391.3333333333335</v>
      </c>
    </row>
    <row r="60" spans="1:9" x14ac:dyDescent="0.3">
      <c r="A60" s="965" t="s">
        <v>318</v>
      </c>
      <c r="B60" s="989" t="s">
        <v>363</v>
      </c>
      <c r="C60" s="990"/>
      <c r="D60" s="632">
        <v>1</v>
      </c>
      <c r="E60" s="632" t="s">
        <v>164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3">
      <c r="A61" s="956"/>
      <c r="B61" s="984" t="s">
        <v>364</v>
      </c>
      <c r="C61" s="985"/>
      <c r="D61" s="635">
        <v>1</v>
      </c>
      <c r="E61" s="635" t="s">
        <v>164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3">
      <c r="A62" s="956"/>
      <c r="B62" s="984" t="s">
        <v>365</v>
      </c>
      <c r="C62" s="985"/>
      <c r="D62" s="635">
        <v>1</v>
      </c>
      <c r="E62" s="635" t="s">
        <v>164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3">
      <c r="A63" s="956"/>
      <c r="B63" s="984" t="s">
        <v>366</v>
      </c>
      <c r="C63" s="985"/>
      <c r="D63" s="635">
        <v>1</v>
      </c>
      <c r="E63" s="635" t="s">
        <v>164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3">
      <c r="A64" s="956"/>
      <c r="B64" s="984" t="s">
        <v>367</v>
      </c>
      <c r="C64" s="985"/>
      <c r="D64" s="635">
        <v>1</v>
      </c>
      <c r="E64" s="635" t="s">
        <v>164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" thickBot="1" x14ac:dyDescent="0.35">
      <c r="A65" s="956"/>
      <c r="B65" s="984" t="s">
        <v>368</v>
      </c>
      <c r="C65" s="985"/>
      <c r="D65" s="635">
        <v>1</v>
      </c>
      <c r="E65" s="635" t="s">
        <v>164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3">
      <c r="A66" s="956"/>
      <c r="B66" s="989" t="s">
        <v>358</v>
      </c>
      <c r="C66" s="990"/>
      <c r="D66" s="638">
        <v>1</v>
      </c>
      <c r="E66" s="638" t="s">
        <v>164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3">
      <c r="A67" s="956"/>
      <c r="B67" s="984" t="s">
        <v>348</v>
      </c>
      <c r="C67" s="985"/>
      <c r="D67" s="635">
        <v>1</v>
      </c>
      <c r="E67" s="635" t="s">
        <v>338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3">
      <c r="A68" s="956"/>
      <c r="B68" s="984" t="s">
        <v>369</v>
      </c>
      <c r="C68" s="985"/>
      <c r="D68" s="635">
        <v>1</v>
      </c>
      <c r="E68" s="635" t="s">
        <v>164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3">
      <c r="A69" s="956"/>
      <c r="B69" s="984" t="s">
        <v>337</v>
      </c>
      <c r="C69" s="985"/>
      <c r="D69" s="635">
        <v>1</v>
      </c>
      <c r="E69" s="635" t="s">
        <v>338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3">
      <c r="A70" s="956"/>
      <c r="B70" s="941" t="s">
        <v>361</v>
      </c>
      <c r="C70" s="942"/>
      <c r="D70" s="295">
        <v>1</v>
      </c>
      <c r="E70" s="295" t="s">
        <v>164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3">
      <c r="A71" s="956"/>
      <c r="B71" s="975" t="s">
        <v>362</v>
      </c>
      <c r="C71" s="976"/>
      <c r="D71" s="364">
        <v>1</v>
      </c>
      <c r="E71" s="364" t="s">
        <v>164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3">
      <c r="A72" s="956"/>
      <c r="B72" s="984" t="s">
        <v>370</v>
      </c>
      <c r="C72" s="985"/>
      <c r="D72" s="635">
        <v>1</v>
      </c>
      <c r="E72" s="635" t="s">
        <v>338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" thickBot="1" x14ac:dyDescent="0.35">
      <c r="A73" s="956"/>
      <c r="B73" s="986" t="s">
        <v>371</v>
      </c>
      <c r="C73" s="987"/>
      <c r="D73" s="640">
        <v>1</v>
      </c>
      <c r="E73" s="640" t="s">
        <v>338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" thickBot="1" x14ac:dyDescent="0.35">
      <c r="A74" s="988"/>
      <c r="B74" s="991" t="s">
        <v>344</v>
      </c>
      <c r="C74" s="967"/>
      <c r="D74" s="967"/>
      <c r="E74" s="967"/>
      <c r="F74" s="967"/>
      <c r="G74" s="967"/>
      <c r="H74" s="968"/>
      <c r="I74" s="642">
        <f>SUM(I60:I73)</f>
        <v>1241.5366666666666</v>
      </c>
    </row>
    <row r="75" spans="1:9" x14ac:dyDescent="0.3">
      <c r="A75" s="977" t="s">
        <v>319</v>
      </c>
      <c r="B75" s="978" t="s">
        <v>337</v>
      </c>
      <c r="C75" s="979"/>
      <c r="D75" s="644">
        <v>1</v>
      </c>
      <c r="E75" s="388" t="s">
        <v>338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3">
      <c r="A76" s="977"/>
      <c r="B76" s="978" t="s">
        <v>358</v>
      </c>
      <c r="C76" s="979"/>
      <c r="D76" s="644">
        <v>1</v>
      </c>
      <c r="E76" s="388" t="s">
        <v>164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3">
      <c r="A77" s="977"/>
      <c r="B77" s="978" t="s">
        <v>348</v>
      </c>
      <c r="C77" s="979"/>
      <c r="D77" s="644">
        <v>1</v>
      </c>
      <c r="E77" s="388" t="s">
        <v>338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" thickBot="1" x14ac:dyDescent="0.35">
      <c r="A78" s="977"/>
      <c r="B78" s="980" t="s">
        <v>372</v>
      </c>
      <c r="C78" s="981"/>
      <c r="D78" s="648">
        <v>1</v>
      </c>
      <c r="E78" s="649" t="s">
        <v>164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" thickBot="1" x14ac:dyDescent="0.35">
      <c r="A79" s="977"/>
      <c r="B79" s="946" t="s">
        <v>344</v>
      </c>
      <c r="C79" s="982"/>
      <c r="D79" s="982"/>
      <c r="E79" s="982"/>
      <c r="F79" s="982"/>
      <c r="G79" s="982"/>
      <c r="H79" s="983"/>
      <c r="I79" s="652">
        <f>SUM(I75:I78)</f>
        <v>644.66666666666663</v>
      </c>
    </row>
    <row r="80" spans="1:9" x14ac:dyDescent="0.3">
      <c r="A80" s="1019" t="s">
        <v>198</v>
      </c>
      <c r="B80" s="1022" t="s">
        <v>358</v>
      </c>
      <c r="C80" s="1022"/>
      <c r="D80" s="632">
        <v>1</v>
      </c>
      <c r="E80" s="632" t="s">
        <v>164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3">
      <c r="A81" s="1020"/>
      <c r="B81" s="1023" t="s">
        <v>348</v>
      </c>
      <c r="C81" s="1023"/>
      <c r="D81" s="635">
        <v>1</v>
      </c>
      <c r="E81" s="635" t="s">
        <v>338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3">
      <c r="A82" s="1020"/>
      <c r="B82" s="1023" t="s">
        <v>337</v>
      </c>
      <c r="C82" s="1023"/>
      <c r="D82" s="635">
        <v>1</v>
      </c>
      <c r="E82" s="635" t="s">
        <v>338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3">
      <c r="A83" s="1020"/>
      <c r="B83" s="1024" t="s">
        <v>361</v>
      </c>
      <c r="C83" s="1024"/>
      <c r="D83" s="295">
        <v>1</v>
      </c>
      <c r="E83" s="295" t="s">
        <v>164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3">
      <c r="A84" s="1020"/>
      <c r="B84" s="1024" t="s">
        <v>362</v>
      </c>
      <c r="C84" s="1024"/>
      <c r="D84" s="295">
        <v>1</v>
      </c>
      <c r="E84" s="295" t="s">
        <v>164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3">
      <c r="A85" s="1020"/>
      <c r="B85" s="1023" t="s">
        <v>373</v>
      </c>
      <c r="C85" s="1023"/>
      <c r="D85" s="644">
        <v>1</v>
      </c>
      <c r="E85" s="295" t="s">
        <v>164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3">
      <c r="A86" s="1020"/>
      <c r="B86" s="1025" t="s">
        <v>374</v>
      </c>
      <c r="C86" s="985"/>
      <c r="D86" s="646">
        <v>1</v>
      </c>
      <c r="E86" s="295" t="s">
        <v>164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3">
      <c r="A87" s="1020"/>
      <c r="B87" s="1025" t="s">
        <v>375</v>
      </c>
      <c r="C87" s="985"/>
      <c r="D87" s="646">
        <v>1</v>
      </c>
      <c r="E87" s="295" t="s">
        <v>164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" thickBot="1" x14ac:dyDescent="0.35">
      <c r="A88" s="1021"/>
      <c r="B88" s="1003" t="s">
        <v>344</v>
      </c>
      <c r="C88" s="1003"/>
      <c r="D88" s="1003"/>
      <c r="E88" s="1003"/>
      <c r="F88" s="1003"/>
      <c r="G88" s="1003"/>
      <c r="H88" s="1003"/>
      <c r="I88" s="647">
        <f>SUM(I80:I87)</f>
        <v>2077.1666666666665</v>
      </c>
    </row>
    <row r="89" spans="1:9" x14ac:dyDescent="0.3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3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3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3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" customHeight="1" x14ac:dyDescent="0.3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" customHeight="1" x14ac:dyDescent="0.3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3">
      <c r="A95" s="1004" t="s">
        <v>376</v>
      </c>
      <c r="B95" s="1005"/>
      <c r="C95" s="1005"/>
      <c r="D95" s="1005"/>
      <c r="E95" s="1005"/>
      <c r="F95" s="1005"/>
      <c r="G95" s="1005"/>
      <c r="H95" s="1005"/>
      <c r="I95" s="1005"/>
    </row>
    <row r="96" spans="1:9" ht="15" hidden="1" thickBot="1" x14ac:dyDescent="0.35">
      <c r="A96" s="1006" t="s">
        <v>377</v>
      </c>
      <c r="B96" s="1007"/>
      <c r="C96" s="1007"/>
      <c r="D96" s="1007"/>
      <c r="E96" s="1007"/>
      <c r="F96" s="1007"/>
      <c r="G96" s="1007"/>
      <c r="H96" s="1007"/>
      <c r="I96" s="1007"/>
    </row>
    <row r="97" spans="1:10" hidden="1" x14ac:dyDescent="0.3">
      <c r="A97" s="1008" t="s">
        <v>227</v>
      </c>
      <c r="B97" s="1009"/>
      <c r="C97" s="1012" t="s">
        <v>228</v>
      </c>
      <c r="D97" s="1014" t="s">
        <v>378</v>
      </c>
      <c r="E97" s="1015" t="s">
        <v>379</v>
      </c>
      <c r="F97" s="1016"/>
      <c r="G97" s="1017" t="s">
        <v>380</v>
      </c>
      <c r="H97" s="1018"/>
      <c r="I97" s="366" t="s">
        <v>233</v>
      </c>
    </row>
    <row r="98" spans="1:10" ht="21.6" hidden="1" x14ac:dyDescent="0.3">
      <c r="A98" s="1010"/>
      <c r="B98" s="1011"/>
      <c r="C98" s="1013"/>
      <c r="D98" s="1013"/>
      <c r="E98" s="367" t="s">
        <v>381</v>
      </c>
      <c r="F98" s="367" t="s">
        <v>382</v>
      </c>
      <c r="G98" s="367" t="s">
        <v>381</v>
      </c>
      <c r="H98" s="367" t="s">
        <v>382</v>
      </c>
      <c r="I98" s="368"/>
    </row>
    <row r="99" spans="1:10" hidden="1" x14ac:dyDescent="0.3">
      <c r="A99" s="871" t="s">
        <v>242</v>
      </c>
      <c r="B99" s="681"/>
      <c r="C99" s="681"/>
      <c r="D99" s="681"/>
      <c r="E99" s="681"/>
      <c r="F99" s="992"/>
      <c r="G99" s="369"/>
      <c r="H99" s="369"/>
      <c r="I99" s="370"/>
    </row>
    <row r="100" spans="1:10" hidden="1" x14ac:dyDescent="0.3">
      <c r="A100" s="993" t="s">
        <v>237</v>
      </c>
      <c r="B100" s="994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243</v>
      </c>
    </row>
    <row r="101" spans="1:10" hidden="1" x14ac:dyDescent="0.3">
      <c r="A101" s="993" t="s">
        <v>238</v>
      </c>
      <c r="B101" s="994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244</v>
      </c>
    </row>
    <row r="102" spans="1:10" hidden="1" x14ac:dyDescent="0.3">
      <c r="A102" s="993" t="s">
        <v>239</v>
      </c>
      <c r="B102" s="994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245</v>
      </c>
    </row>
    <row r="103" spans="1:10" hidden="1" x14ac:dyDescent="0.3">
      <c r="A103" s="995" t="s">
        <v>218</v>
      </c>
      <c r="B103" s="996"/>
      <c r="C103" s="1001" t="s">
        <v>107</v>
      </c>
      <c r="D103" s="1002"/>
      <c r="E103" s="374"/>
      <c r="F103" s="374"/>
      <c r="G103" s="375">
        <f>SUM(G100:G102)</f>
        <v>0</v>
      </c>
      <c r="H103" s="375">
        <f>SUM(H100:H102)</f>
        <v>0</v>
      </c>
      <c r="I103" s="1037">
        <f>G105+H105</f>
        <v>0</v>
      </c>
    </row>
    <row r="104" spans="1:10" hidden="1" x14ac:dyDescent="0.3">
      <c r="A104" s="997"/>
      <c r="B104" s="998"/>
      <c r="C104" s="1040" t="s">
        <v>327</v>
      </c>
      <c r="D104" s="1041"/>
      <c r="E104" s="371"/>
      <c r="F104" s="371"/>
      <c r="G104" s="375">
        <f>[1]Расчет!C25</f>
        <v>0</v>
      </c>
      <c r="H104" s="374">
        <v>0</v>
      </c>
      <c r="I104" s="1038"/>
    </row>
    <row r="105" spans="1:10" hidden="1" x14ac:dyDescent="0.3">
      <c r="A105" s="999"/>
      <c r="B105" s="1000"/>
      <c r="C105" s="1040" t="s">
        <v>383</v>
      </c>
      <c r="D105" s="1041"/>
      <c r="E105" s="371"/>
      <c r="F105" s="371"/>
      <c r="G105" s="374">
        <f>G103*G104</f>
        <v>0</v>
      </c>
      <c r="H105" s="374">
        <f>H103*H104</f>
        <v>0</v>
      </c>
      <c r="I105" s="1039"/>
    </row>
    <row r="106" spans="1:10" ht="15" thickBot="1" x14ac:dyDescent="0.35">
      <c r="A106" s="1042"/>
      <c r="B106" s="1043"/>
      <c r="C106" s="376"/>
      <c r="D106" s="376"/>
      <c r="E106" s="377"/>
      <c r="F106" s="377"/>
      <c r="G106" s="377"/>
      <c r="H106" s="377"/>
      <c r="I106" s="378"/>
    </row>
    <row r="107" spans="1:10" ht="41.4" customHeight="1" x14ac:dyDescent="0.3">
      <c r="A107" s="1019" t="s">
        <v>227</v>
      </c>
      <c r="B107" s="1045" t="s">
        <v>384</v>
      </c>
      <c r="C107" s="1046"/>
      <c r="D107" s="1047" t="s">
        <v>385</v>
      </c>
      <c r="E107" s="1049" t="s">
        <v>386</v>
      </c>
      <c r="F107" s="1050"/>
      <c r="G107" s="1051" t="s">
        <v>387</v>
      </c>
      <c r="H107" s="1053" t="s">
        <v>388</v>
      </c>
      <c r="I107" s="1054"/>
    </row>
    <row r="108" spans="1:10" ht="48.6" customHeight="1" thickBot="1" x14ac:dyDescent="0.35">
      <c r="A108" s="1044"/>
      <c r="B108" s="379" t="s">
        <v>389</v>
      </c>
      <c r="C108" s="379" t="s">
        <v>390</v>
      </c>
      <c r="D108" s="1048"/>
      <c r="E108" s="379" t="s">
        <v>389</v>
      </c>
      <c r="F108" s="379" t="s">
        <v>390</v>
      </c>
      <c r="G108" s="1052"/>
      <c r="H108" s="380" t="s">
        <v>391</v>
      </c>
      <c r="I108" s="381" t="s">
        <v>392</v>
      </c>
      <c r="J108">
        <f>26.6/1.2</f>
        <v>22.166666666666668</v>
      </c>
    </row>
    <row r="109" spans="1:10" ht="15" thickBot="1" x14ac:dyDescent="0.35">
      <c r="A109" s="1026" t="s">
        <v>393</v>
      </c>
      <c r="B109" s="730"/>
      <c r="C109" s="730"/>
      <c r="D109" s="1027"/>
      <c r="E109" s="1028" t="s">
        <v>394</v>
      </c>
      <c r="F109" s="1029"/>
      <c r="G109" s="1030"/>
      <c r="H109" s="382">
        <v>2.6499999999999999E-2</v>
      </c>
      <c r="I109" s="383">
        <v>0.53</v>
      </c>
      <c r="J109" t="s">
        <v>483</v>
      </c>
    </row>
    <row r="110" spans="1:10" ht="20.399999999999999" x14ac:dyDescent="0.3">
      <c r="A110" s="384" t="s">
        <v>395</v>
      </c>
      <c r="B110" s="371">
        <f>[1]Таблица_Характеристика!$H$59*(IF([1]Расчет!$D$35=1,1,0))</f>
        <v>0</v>
      </c>
      <c r="C110" s="371">
        <f>Характеристика!L55</f>
        <v>1500</v>
      </c>
      <c r="D110" s="385">
        <v>2</v>
      </c>
      <c r="E110" s="386"/>
      <c r="F110" s="386">
        <v>0.42</v>
      </c>
      <c r="G110" s="386">
        <f>((B110/100*E110)+(C110/100*F110))*D110</f>
        <v>12.6</v>
      </c>
      <c r="H110" s="386">
        <f>G110*H109</f>
        <v>0.33389999999999997</v>
      </c>
      <c r="I110" s="387">
        <f>G110*I109</f>
        <v>6.6779999999999999</v>
      </c>
    </row>
    <row r="111" spans="1:10" x14ac:dyDescent="0.3">
      <c r="A111" s="1031" t="s">
        <v>218</v>
      </c>
      <c r="B111" s="1032" t="s">
        <v>107</v>
      </c>
      <c r="C111" s="1033"/>
      <c r="D111" s="385"/>
      <c r="E111" s="388"/>
      <c r="F111" s="388"/>
      <c r="G111" s="371"/>
      <c r="H111" s="374">
        <f>SUM(H110:H110)</f>
        <v>0.33389999999999997</v>
      </c>
      <c r="I111" s="389">
        <f>SUM(I110:I110)</f>
        <v>6.6779999999999999</v>
      </c>
    </row>
    <row r="112" spans="1:10" x14ac:dyDescent="0.3">
      <c r="A112" s="1031"/>
      <c r="B112" s="1034" t="s">
        <v>327</v>
      </c>
      <c r="C112" s="1034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3">
      <c r="A113" s="1031"/>
      <c r="B113" s="1035" t="s">
        <v>396</v>
      </c>
      <c r="C113" s="1035"/>
      <c r="D113" s="390"/>
      <c r="E113" s="391"/>
      <c r="F113" s="391"/>
      <c r="G113" s="391"/>
      <c r="H113" s="392">
        <f>H111*H112</f>
        <v>20.033999999999999</v>
      </c>
      <c r="I113" s="393">
        <f>I111*I112</f>
        <v>148.05126000000001</v>
      </c>
    </row>
    <row r="114" spans="1:9" x14ac:dyDescent="0.3">
      <c r="A114" s="1031"/>
      <c r="B114" s="1036" t="s">
        <v>482</v>
      </c>
      <c r="C114" s="1036"/>
      <c r="D114" s="1036"/>
      <c r="E114" s="388"/>
      <c r="F114" s="388"/>
      <c r="G114" s="388"/>
      <c r="H114" s="374">
        <f>C110*0.0178</f>
        <v>26.7</v>
      </c>
      <c r="I114" s="374"/>
    </row>
    <row r="115" spans="1:9" x14ac:dyDescent="0.3">
      <c r="A115" s="394"/>
      <c r="B115" s="1036" t="s">
        <v>397</v>
      </c>
      <c r="C115" s="1036"/>
      <c r="D115" s="1036"/>
      <c r="E115" s="388"/>
      <c r="F115" s="388"/>
      <c r="G115" s="388"/>
      <c r="H115" s="374">
        <f>G110*2.2</f>
        <v>27.720000000000002</v>
      </c>
      <c r="I115" s="374"/>
    </row>
    <row r="116" spans="1:9" x14ac:dyDescent="0.3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222.50525999999999</v>
      </c>
    </row>
    <row r="117" spans="1:9" s="351" customFormat="1" hidden="1" x14ac:dyDescent="0.3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" hidden="1" thickBot="1" x14ac:dyDescent="0.35">
      <c r="A118" s="1064" t="s">
        <v>398</v>
      </c>
      <c r="B118" s="1065"/>
      <c r="C118" s="1065"/>
      <c r="D118" s="1065"/>
      <c r="E118" s="1065"/>
      <c r="F118" s="1065"/>
      <c r="G118" s="1065"/>
      <c r="H118" s="1065"/>
      <c r="I118" s="1065"/>
    </row>
    <row r="119" spans="1:9" s="351" customFormat="1" hidden="1" x14ac:dyDescent="0.3">
      <c r="A119" s="1066" t="s">
        <v>227</v>
      </c>
      <c r="B119" s="1067"/>
      <c r="C119" s="1070" t="s">
        <v>228</v>
      </c>
      <c r="D119" s="1072" t="s">
        <v>229</v>
      </c>
      <c r="E119" s="1073" t="s">
        <v>379</v>
      </c>
      <c r="F119" s="1074"/>
      <c r="G119" s="1075" t="s">
        <v>380</v>
      </c>
      <c r="H119" s="1076"/>
      <c r="I119" s="304" t="s">
        <v>233</v>
      </c>
    </row>
    <row r="120" spans="1:9" s="351" customFormat="1" ht="15" hidden="1" thickBot="1" x14ac:dyDescent="0.35">
      <c r="A120" s="1068"/>
      <c r="B120" s="1069"/>
      <c r="C120" s="1071"/>
      <c r="D120" s="1071"/>
      <c r="E120" s="307" t="s">
        <v>381</v>
      </c>
      <c r="F120" s="307" t="s">
        <v>399</v>
      </c>
      <c r="G120" s="307" t="s">
        <v>381</v>
      </c>
      <c r="H120" s="307" t="s">
        <v>399</v>
      </c>
      <c r="I120" s="308"/>
    </row>
    <row r="121" spans="1:9" s="351" customFormat="1" ht="15" hidden="1" thickBot="1" x14ac:dyDescent="0.35">
      <c r="A121" s="1055" t="s">
        <v>400</v>
      </c>
      <c r="B121" s="1056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401</v>
      </c>
    </row>
    <row r="122" spans="1:9" s="351" customFormat="1" hidden="1" x14ac:dyDescent="0.3">
      <c r="A122" s="1057" t="s">
        <v>402</v>
      </c>
      <c r="B122" s="1058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403</v>
      </c>
    </row>
    <row r="123" spans="1:9" s="351" customFormat="1" hidden="1" x14ac:dyDescent="0.3">
      <c r="A123" s="1059" t="s">
        <v>404</v>
      </c>
      <c r="B123" s="1060"/>
      <c r="C123" s="1061"/>
      <c r="D123" s="319"/>
      <c r="E123" s="316"/>
      <c r="F123" s="320"/>
      <c r="G123" s="316"/>
      <c r="H123" s="321"/>
      <c r="I123" s="322"/>
    </row>
    <row r="124" spans="1:9" s="351" customFormat="1" hidden="1" x14ac:dyDescent="0.3">
      <c r="A124" s="1062" t="s">
        <v>405</v>
      </c>
      <c r="B124" s="1063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406</v>
      </c>
    </row>
    <row r="125" spans="1:9" s="351" customFormat="1" hidden="1" x14ac:dyDescent="0.3">
      <c r="A125" s="1062" t="s">
        <v>407</v>
      </c>
      <c r="B125" s="1063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408</v>
      </c>
    </row>
    <row r="126" spans="1:9" s="351" customFormat="1" hidden="1" x14ac:dyDescent="0.3">
      <c r="A126" s="1062" t="s">
        <v>409</v>
      </c>
      <c r="B126" s="1063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410</v>
      </c>
    </row>
    <row r="127" spans="1:9" s="351" customFormat="1" hidden="1" x14ac:dyDescent="0.3">
      <c r="A127" s="1062" t="s">
        <v>411</v>
      </c>
      <c r="B127" s="1063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412</v>
      </c>
    </row>
    <row r="128" spans="1:9" s="351" customFormat="1" hidden="1" x14ac:dyDescent="0.3">
      <c r="A128" s="1062" t="s">
        <v>413</v>
      </c>
      <c r="B128" s="1063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414</v>
      </c>
    </row>
    <row r="129" spans="1:9" s="351" customFormat="1" hidden="1" x14ac:dyDescent="0.3">
      <c r="A129" s="1062" t="s">
        <v>415</v>
      </c>
      <c r="B129" s="1063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416</v>
      </c>
    </row>
    <row r="130" spans="1:9" s="351" customFormat="1" hidden="1" x14ac:dyDescent="0.3">
      <c r="A130" s="1062" t="s">
        <v>417</v>
      </c>
      <c r="B130" s="1063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418</v>
      </c>
    </row>
    <row r="131" spans="1:9" s="351" customFormat="1" hidden="1" x14ac:dyDescent="0.3">
      <c r="A131" s="1059" t="s">
        <v>419</v>
      </c>
      <c r="B131" s="1060"/>
      <c r="C131" s="1061"/>
      <c r="D131" s="319"/>
      <c r="E131" s="316"/>
      <c r="F131" s="320"/>
      <c r="G131" s="316"/>
      <c r="H131" s="321"/>
      <c r="I131" s="322"/>
    </row>
    <row r="132" spans="1:9" s="351" customFormat="1" hidden="1" x14ac:dyDescent="0.3">
      <c r="A132" s="1062" t="s">
        <v>405</v>
      </c>
      <c r="B132" s="1063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420</v>
      </c>
    </row>
    <row r="133" spans="1:9" s="351" customFormat="1" hidden="1" x14ac:dyDescent="0.3">
      <c r="A133" s="1062" t="s">
        <v>407</v>
      </c>
      <c r="B133" s="1063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421</v>
      </c>
    </row>
    <row r="134" spans="1:9" s="351" customFormat="1" hidden="1" x14ac:dyDescent="0.3">
      <c r="A134" s="1062" t="s">
        <v>409</v>
      </c>
      <c r="B134" s="1063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422</v>
      </c>
    </row>
    <row r="135" spans="1:9" s="351" customFormat="1" hidden="1" x14ac:dyDescent="0.3">
      <c r="A135" s="1062" t="s">
        <v>411</v>
      </c>
      <c r="B135" s="1063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423</v>
      </c>
    </row>
    <row r="136" spans="1:9" s="351" customFormat="1" hidden="1" x14ac:dyDescent="0.3">
      <c r="A136" s="1062" t="s">
        <v>413</v>
      </c>
      <c r="B136" s="1063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424</v>
      </c>
    </row>
    <row r="137" spans="1:9" s="351" customFormat="1" hidden="1" x14ac:dyDescent="0.3">
      <c r="A137" s="1062" t="s">
        <v>415</v>
      </c>
      <c r="B137" s="1063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425</v>
      </c>
    </row>
    <row r="138" spans="1:9" s="351" customFormat="1" hidden="1" x14ac:dyDescent="0.3">
      <c r="A138" s="1062" t="s">
        <v>417</v>
      </c>
      <c r="B138" s="1063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426</v>
      </c>
    </row>
    <row r="139" spans="1:9" s="351" customFormat="1" hidden="1" x14ac:dyDescent="0.3">
      <c r="A139" s="1059" t="s">
        <v>427</v>
      </c>
      <c r="B139" s="1081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428</v>
      </c>
    </row>
    <row r="140" spans="1:9" s="351" customFormat="1" hidden="1" x14ac:dyDescent="0.3">
      <c r="A140" s="1059" t="s">
        <v>429</v>
      </c>
      <c r="B140" s="1081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3">
      <c r="A141" s="1062" t="s">
        <v>430</v>
      </c>
      <c r="B141" s="1063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431</v>
      </c>
    </row>
    <row r="142" spans="1:9" s="351" customFormat="1" hidden="1" x14ac:dyDescent="0.3">
      <c r="A142" s="1062" t="s">
        <v>432</v>
      </c>
      <c r="B142" s="1063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433</v>
      </c>
    </row>
    <row r="143" spans="1:9" s="351" customFormat="1" hidden="1" x14ac:dyDescent="0.3">
      <c r="A143" s="1062" t="s">
        <v>434</v>
      </c>
      <c r="B143" s="1063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435</v>
      </c>
    </row>
    <row r="144" spans="1:9" s="351" customFormat="1" hidden="1" x14ac:dyDescent="0.3">
      <c r="A144" s="1062" t="s">
        <v>436</v>
      </c>
      <c r="B144" s="1063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437</v>
      </c>
    </row>
    <row r="145" spans="1:9" s="351" customFormat="1" hidden="1" x14ac:dyDescent="0.3">
      <c r="A145" s="1062" t="s">
        <v>438</v>
      </c>
      <c r="B145" s="1063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439</v>
      </c>
    </row>
    <row r="146" spans="1:9" s="351" customFormat="1" hidden="1" x14ac:dyDescent="0.3">
      <c r="A146" s="1062" t="s">
        <v>440</v>
      </c>
      <c r="B146" s="1063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441</v>
      </c>
    </row>
    <row r="147" spans="1:9" s="351" customFormat="1" hidden="1" x14ac:dyDescent="0.3">
      <c r="A147" s="1062" t="s">
        <v>442</v>
      </c>
      <c r="B147" s="1063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443</v>
      </c>
    </row>
    <row r="148" spans="1:9" s="351" customFormat="1" hidden="1" x14ac:dyDescent="0.3">
      <c r="A148" s="1062" t="s">
        <v>444</v>
      </c>
      <c r="B148" s="1063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445</v>
      </c>
    </row>
    <row r="149" spans="1:9" s="351" customFormat="1" hidden="1" x14ac:dyDescent="0.3">
      <c r="A149" s="1077" t="s">
        <v>446</v>
      </c>
      <c r="B149" s="1078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447</v>
      </c>
    </row>
    <row r="150" spans="1:9" s="351" customFormat="1" hidden="1" x14ac:dyDescent="0.3">
      <c r="A150" s="1079" t="s">
        <v>448</v>
      </c>
      <c r="B150" s="1080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3">
      <c r="A151" s="1079" t="s">
        <v>449</v>
      </c>
      <c r="B151" s="1080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3">
      <c r="A152" s="1077" t="s">
        <v>450</v>
      </c>
      <c r="B152" s="1091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3">
      <c r="A153" s="1077" t="s">
        <v>451</v>
      </c>
      <c r="B153" s="1091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3">
      <c r="A154" s="1092" t="s">
        <v>452</v>
      </c>
      <c r="B154" s="1093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3">
      <c r="A155" s="1062" t="s">
        <v>453</v>
      </c>
      <c r="B155" s="1063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454</v>
      </c>
    </row>
    <row r="156" spans="1:9" s="351" customFormat="1" hidden="1" x14ac:dyDescent="0.3">
      <c r="A156" s="1062" t="s">
        <v>455</v>
      </c>
      <c r="B156" s="1082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456</v>
      </c>
    </row>
    <row r="157" spans="1:9" s="351" customFormat="1" hidden="1" x14ac:dyDescent="0.3">
      <c r="A157" s="1062" t="s">
        <v>457</v>
      </c>
      <c r="B157" s="1082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458</v>
      </c>
    </row>
    <row r="158" spans="1:9" s="351" customFormat="1" hidden="1" x14ac:dyDescent="0.3">
      <c r="A158" s="1062" t="s">
        <v>459</v>
      </c>
      <c r="B158" s="1082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460</v>
      </c>
    </row>
    <row r="159" spans="1:9" s="351" customFormat="1" hidden="1" x14ac:dyDescent="0.3">
      <c r="A159" s="1062" t="s">
        <v>461</v>
      </c>
      <c r="B159" s="1082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462</v>
      </c>
    </row>
    <row r="160" spans="1:9" s="351" customFormat="1" hidden="1" x14ac:dyDescent="0.3">
      <c r="A160" s="1083" t="s">
        <v>463</v>
      </c>
      <c r="B160" s="333" t="s">
        <v>107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1086">
        <f>G162+H162</f>
        <v>0</v>
      </c>
    </row>
    <row r="161" spans="1:9" s="351" customFormat="1" hidden="1" x14ac:dyDescent="0.3">
      <c r="A161" s="1084"/>
      <c r="B161" s="333" t="s">
        <v>327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1087"/>
    </row>
    <row r="162" spans="1:9" s="351" customFormat="1" ht="15" hidden="1" thickBot="1" x14ac:dyDescent="0.35">
      <c r="A162" s="1085"/>
      <c r="B162" s="336" t="s">
        <v>383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1088"/>
    </row>
    <row r="163" spans="1:9" s="351" customFormat="1" hidden="1" x14ac:dyDescent="0.3">
      <c r="A163" s="1089" t="s">
        <v>464</v>
      </c>
      <c r="B163" s="1090"/>
      <c r="C163" s="1090"/>
      <c r="D163" s="1090"/>
      <c r="E163" s="1090"/>
      <c r="F163" s="1090"/>
      <c r="G163" s="1090"/>
      <c r="H163" s="1090"/>
      <c r="I163" s="1090"/>
    </row>
    <row r="164" spans="1:9" s="351" customFormat="1" hidden="1" x14ac:dyDescent="0.3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3">
      <c r="A165" s="1103" t="s">
        <v>465</v>
      </c>
      <c r="B165" s="1104"/>
      <c r="C165" s="1104"/>
      <c r="D165" s="1104"/>
      <c r="E165" s="1104"/>
      <c r="F165" s="1104"/>
      <c r="G165" s="1104"/>
      <c r="H165" s="1104"/>
      <c r="I165" s="1104"/>
    </row>
    <row r="166" spans="1:9" s="351" customFormat="1" ht="15" hidden="1" thickBot="1" x14ac:dyDescent="0.35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3">
      <c r="A167" s="1066" t="s">
        <v>466</v>
      </c>
      <c r="B167" s="1067"/>
      <c r="C167" s="1070" t="s">
        <v>228</v>
      </c>
      <c r="D167" s="1072" t="s">
        <v>229</v>
      </c>
      <c r="E167" s="1073" t="s">
        <v>379</v>
      </c>
      <c r="F167" s="1074"/>
      <c r="G167" s="1108" t="s">
        <v>380</v>
      </c>
      <c r="H167" s="1108"/>
      <c r="I167" s="1109" t="s">
        <v>233</v>
      </c>
    </row>
    <row r="168" spans="1:9" s="351" customFormat="1" hidden="1" x14ac:dyDescent="0.3">
      <c r="A168" s="1105"/>
      <c r="B168" s="1106"/>
      <c r="C168" s="1107"/>
      <c r="D168" s="1107"/>
      <c r="E168" s="339" t="s">
        <v>381</v>
      </c>
      <c r="F168" s="340" t="s">
        <v>467</v>
      </c>
      <c r="G168" s="339" t="s">
        <v>381</v>
      </c>
      <c r="H168" s="341" t="s">
        <v>467</v>
      </c>
      <c r="I168" s="1087"/>
    </row>
    <row r="169" spans="1:9" s="351" customFormat="1" hidden="1" x14ac:dyDescent="0.3">
      <c r="A169" s="333" t="s">
        <v>468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3">
      <c r="A170" s="1094">
        <f>[1]підвали!A33</f>
        <v>0</v>
      </c>
      <c r="B170" s="1095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469</v>
      </c>
    </row>
    <row r="171" spans="1:9" s="351" customFormat="1" hidden="1" x14ac:dyDescent="0.3">
      <c r="A171" s="1094">
        <f>[1]підвали!A34</f>
        <v>0</v>
      </c>
      <c r="B171" s="1095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470</v>
      </c>
    </row>
    <row r="172" spans="1:9" s="351" customFormat="1" hidden="1" x14ac:dyDescent="0.3">
      <c r="A172" s="1094">
        <f>[1]підвали!A35</f>
        <v>0</v>
      </c>
      <c r="B172" s="1095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471</v>
      </c>
    </row>
    <row r="173" spans="1:9" s="351" customFormat="1" hidden="1" x14ac:dyDescent="0.3">
      <c r="A173" s="1094">
        <f>[1]підвали!A36</f>
        <v>0</v>
      </c>
      <c r="B173" s="1095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472</v>
      </c>
    </row>
    <row r="174" spans="1:9" s="351" customFormat="1" hidden="1" x14ac:dyDescent="0.3">
      <c r="A174" s="1096"/>
      <c r="B174" s="1097"/>
      <c r="C174" s="1101" t="s">
        <v>107</v>
      </c>
      <c r="D174" s="1102"/>
      <c r="E174" s="339"/>
      <c r="F174" s="339"/>
      <c r="G174" s="306">
        <f>SUM(G170:G173)</f>
        <v>0</v>
      </c>
      <c r="H174" s="306">
        <f>SUM(H170:H173)</f>
        <v>0</v>
      </c>
      <c r="I174" s="1119">
        <f>G176+H176</f>
        <v>0</v>
      </c>
    </row>
    <row r="175" spans="1:9" s="351" customFormat="1" hidden="1" x14ac:dyDescent="0.3">
      <c r="A175" s="1098"/>
      <c r="B175" s="1097"/>
      <c r="C175" s="1101" t="s">
        <v>327</v>
      </c>
      <c r="D175" s="1102"/>
      <c r="E175" s="339"/>
      <c r="F175" s="339"/>
      <c r="G175" s="306">
        <f>[1]Расчет!C26*0</f>
        <v>0</v>
      </c>
      <c r="H175" s="306">
        <v>0</v>
      </c>
      <c r="I175" s="1120"/>
    </row>
    <row r="176" spans="1:9" s="351" customFormat="1" ht="15" hidden="1" thickBot="1" x14ac:dyDescent="0.35">
      <c r="A176" s="1099"/>
      <c r="B176" s="1100"/>
      <c r="C176" s="1122" t="s">
        <v>383</v>
      </c>
      <c r="D176" s="1071"/>
      <c r="E176" s="307"/>
      <c r="F176" s="307"/>
      <c r="G176" s="350">
        <f>G174*G175</f>
        <v>0</v>
      </c>
      <c r="H176" s="350">
        <f>H174*H175</f>
        <v>0</v>
      </c>
      <c r="I176" s="1121"/>
    </row>
    <row r="177" spans="1:9" s="351" customFormat="1" hidden="1" x14ac:dyDescent="0.3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" hidden="1" thickBot="1" x14ac:dyDescent="0.35">
      <c r="A178" s="1103" t="s">
        <v>473</v>
      </c>
      <c r="B178" s="1104"/>
      <c r="C178" s="1104"/>
      <c r="D178" s="1104"/>
      <c r="E178" s="1104"/>
      <c r="F178" s="1104"/>
      <c r="G178" s="1104"/>
      <c r="H178" s="1104"/>
      <c r="I178" s="1104"/>
    </row>
    <row r="179" spans="1:9" s="351" customFormat="1" hidden="1" x14ac:dyDescent="0.3">
      <c r="A179" s="1066" t="s">
        <v>227</v>
      </c>
      <c r="B179" s="1067"/>
      <c r="C179" s="1070" t="s">
        <v>474</v>
      </c>
      <c r="D179" s="1072" t="s">
        <v>378</v>
      </c>
      <c r="E179" s="1123" t="s">
        <v>379</v>
      </c>
      <c r="F179" s="1123"/>
      <c r="G179" s="1124" t="s">
        <v>380</v>
      </c>
      <c r="H179" s="1124"/>
      <c r="I179" s="1109" t="s">
        <v>233</v>
      </c>
    </row>
    <row r="180" spans="1:9" s="351" customFormat="1" ht="15" hidden="1" thickBot="1" x14ac:dyDescent="0.35">
      <c r="A180" s="1068"/>
      <c r="B180" s="1069"/>
      <c r="C180" s="1071"/>
      <c r="D180" s="1071"/>
      <c r="E180" s="1110" t="s">
        <v>475</v>
      </c>
      <c r="F180" s="1111"/>
      <c r="G180" s="1110" t="s">
        <v>475</v>
      </c>
      <c r="H180" s="1111"/>
      <c r="I180" s="1125"/>
    </row>
    <row r="181" spans="1:9" s="351" customFormat="1" hidden="1" x14ac:dyDescent="0.3">
      <c r="A181" s="1112" t="s">
        <v>237</v>
      </c>
      <c r="B181" s="1113"/>
      <c r="C181" s="323">
        <f>[1]Снег!C56</f>
        <v>0</v>
      </c>
      <c r="D181" s="319">
        <f>[1]Снег!D56</f>
        <v>0</v>
      </c>
      <c r="E181" s="1114">
        <v>1.4999999999999999E-2</v>
      </c>
      <c r="F181" s="1115"/>
      <c r="G181" s="1114">
        <f xml:space="preserve"> C181/100*D181*E181</f>
        <v>0</v>
      </c>
      <c r="H181" s="1115"/>
      <c r="I181" s="360" t="s">
        <v>476</v>
      </c>
    </row>
    <row r="182" spans="1:9" s="351" customFormat="1" hidden="1" x14ac:dyDescent="0.3">
      <c r="A182" s="1116" t="s">
        <v>238</v>
      </c>
      <c r="B182" s="1097"/>
      <c r="C182" s="324">
        <f>[1]Снег!C57</f>
        <v>0</v>
      </c>
      <c r="D182" s="315">
        <f>[1]Снег!D57</f>
        <v>60</v>
      </c>
      <c r="E182" s="1117">
        <v>1.7000000000000001E-2</v>
      </c>
      <c r="F182" s="1118"/>
      <c r="G182" s="1117">
        <f xml:space="preserve"> C182/100*D182*E182</f>
        <v>0</v>
      </c>
      <c r="H182" s="1118"/>
      <c r="I182" s="361" t="s">
        <v>477</v>
      </c>
    </row>
    <row r="183" spans="1:9" s="351" customFormat="1" hidden="1" x14ac:dyDescent="0.3">
      <c r="A183" s="1116" t="s">
        <v>239</v>
      </c>
      <c r="B183" s="1097"/>
      <c r="C183" s="324">
        <v>0</v>
      </c>
      <c r="D183" s="315">
        <f>[1]Снег!D58</f>
        <v>0</v>
      </c>
      <c r="E183" s="1117">
        <v>0.02</v>
      </c>
      <c r="F183" s="1118"/>
      <c r="G183" s="1117">
        <f xml:space="preserve"> C183/100*D183*E183</f>
        <v>0</v>
      </c>
      <c r="H183" s="1118"/>
      <c r="I183" s="361" t="s">
        <v>478</v>
      </c>
    </row>
    <row r="184" spans="1:9" s="351" customFormat="1" hidden="1" x14ac:dyDescent="0.3">
      <c r="A184" s="1096"/>
      <c r="B184" s="1097"/>
      <c r="C184" s="1101" t="s">
        <v>107</v>
      </c>
      <c r="D184" s="1102"/>
      <c r="E184" s="1129"/>
      <c r="F184" s="1130"/>
      <c r="G184" s="1135">
        <f>SUM(G181:G183)</f>
        <v>0</v>
      </c>
      <c r="H184" s="1136"/>
      <c r="I184" s="1126">
        <f>G186</f>
        <v>0</v>
      </c>
    </row>
    <row r="185" spans="1:9" s="351" customFormat="1" hidden="1" x14ac:dyDescent="0.3">
      <c r="A185" s="1098"/>
      <c r="B185" s="1097"/>
      <c r="C185" s="1101" t="s">
        <v>327</v>
      </c>
      <c r="D185" s="1102"/>
      <c r="E185" s="1129"/>
      <c r="F185" s="1130"/>
      <c r="G185" s="1131">
        <v>197.79</v>
      </c>
      <c r="H185" s="1132"/>
      <c r="I185" s="1127"/>
    </row>
    <row r="186" spans="1:9" s="351" customFormat="1" ht="15" hidden="1" thickBot="1" x14ac:dyDescent="0.35">
      <c r="A186" s="1099"/>
      <c r="B186" s="1100"/>
      <c r="C186" s="1122" t="s">
        <v>383</v>
      </c>
      <c r="D186" s="1071"/>
      <c r="E186" s="1110"/>
      <c r="F186" s="1111"/>
      <c r="G186" s="1133">
        <f>G184*G185</f>
        <v>0</v>
      </c>
      <c r="H186" s="1134"/>
      <c r="I186" s="1128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5" zoomScaleNormal="100" workbookViewId="0">
      <selection activeCell="C25" sqref="C25"/>
    </sheetView>
  </sheetViews>
  <sheetFormatPr defaultRowHeight="14.4" x14ac:dyDescent="0.3"/>
  <cols>
    <col min="1" max="1" width="10.109375" bestFit="1" customWidth="1"/>
    <col min="8" max="8" width="15.33203125" customWidth="1"/>
    <col min="9" max="9" width="12.77734375" customWidth="1"/>
    <col min="10" max="10" width="12.5546875" customWidth="1"/>
    <col min="12" max="12" width="15.21875" customWidth="1"/>
  </cols>
  <sheetData>
    <row r="1" spans="1:12" x14ac:dyDescent="0.3">
      <c r="A1" s="1137" t="str">
        <f>[1]Таблица_Характеристика!C3</f>
        <v>КП "Житлово-експлуатаційна контора "</v>
      </c>
      <c r="B1" s="1137"/>
      <c r="C1" s="1137"/>
      <c r="D1" s="1137"/>
      <c r="E1" s="1137"/>
      <c r="F1" s="1137"/>
      <c r="G1" s="1137"/>
      <c r="H1" s="1137"/>
      <c r="I1" s="37"/>
      <c r="J1" s="37"/>
      <c r="K1" s="37"/>
      <c r="L1" s="37"/>
    </row>
    <row r="2" spans="1:12" x14ac:dyDescent="0.3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183</v>
      </c>
      <c r="K2" s="37"/>
      <c r="L2" s="37"/>
    </row>
    <row r="3" spans="1:12" x14ac:dyDescent="0.3">
      <c r="A3" s="164"/>
      <c r="B3" s="37"/>
      <c r="C3" s="37"/>
      <c r="D3" s="37"/>
      <c r="E3" s="164"/>
      <c r="F3" s="164"/>
      <c r="G3" s="164"/>
      <c r="H3" s="164"/>
      <c r="I3" s="164"/>
      <c r="J3" s="165" t="s">
        <v>184</v>
      </c>
      <c r="K3" s="164"/>
      <c r="L3" s="37"/>
    </row>
    <row r="4" spans="1:12" ht="15.6" x14ac:dyDescent="0.3">
      <c r="A4" s="166" t="s">
        <v>185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2" customHeight="1" x14ac:dyDescent="0.3">
      <c r="A5" s="1138" t="s">
        <v>209</v>
      </c>
      <c r="B5" s="1139"/>
      <c r="C5" s="1139"/>
      <c r="D5" s="1139"/>
      <c r="E5" s="1139"/>
      <c r="F5" s="1139"/>
      <c r="G5" s="1139"/>
      <c r="H5" s="1139"/>
      <c r="I5" s="1139"/>
      <c r="J5" s="1139"/>
      <c r="K5" s="1139"/>
      <c r="L5" s="1139"/>
    </row>
    <row r="6" spans="1:12" ht="157.19999999999999" customHeight="1" x14ac:dyDescent="0.3">
      <c r="A6" s="1140" t="s">
        <v>186</v>
      </c>
      <c r="B6" s="1141"/>
      <c r="C6" s="1141"/>
      <c r="D6" s="1142"/>
      <c r="E6" s="167" t="s">
        <v>187</v>
      </c>
      <c r="F6" s="1143" t="s">
        <v>284</v>
      </c>
      <c r="G6" s="1144"/>
      <c r="H6" s="168" t="s">
        <v>188</v>
      </c>
      <c r="I6" s="168" t="s">
        <v>189</v>
      </c>
      <c r="J6" s="167" t="s">
        <v>190</v>
      </c>
      <c r="K6" s="167" t="s">
        <v>191</v>
      </c>
      <c r="L6" s="169" t="s">
        <v>192</v>
      </c>
    </row>
    <row r="7" spans="1:12" x14ac:dyDescent="0.3">
      <c r="A7" s="1145" t="s">
        <v>193</v>
      </c>
      <c r="B7" s="1146"/>
      <c r="C7" s="1146"/>
      <c r="D7" s="1147"/>
      <c r="E7" s="170">
        <v>1</v>
      </c>
      <c r="F7" s="1148">
        <f>$D$26</f>
        <v>2078</v>
      </c>
      <c r="G7" s="1149"/>
      <c r="H7" s="171">
        <v>1.6</v>
      </c>
      <c r="I7" s="171">
        <v>1.26</v>
      </c>
      <c r="J7" s="171">
        <f>IF(E7=1,A17,IF(E7=2,B17,IF(E7=3,C17,IF(E7=4,D17,IF(E7=5,E17,F17)))))</f>
        <v>1</v>
      </c>
      <c r="K7" s="171">
        <v>4173</v>
      </c>
      <c r="L7" s="172" t="s">
        <v>194</v>
      </c>
    </row>
    <row r="8" spans="1:12" x14ac:dyDescent="0.3">
      <c r="A8" s="1145" t="s">
        <v>195</v>
      </c>
      <c r="B8" s="1146"/>
      <c r="C8" s="1146"/>
      <c r="D8" s="1147"/>
      <c r="E8" s="170">
        <v>3</v>
      </c>
      <c r="F8" s="1148">
        <f t="shared" ref="F8:F12" si="0">$D$26</f>
        <v>2078</v>
      </c>
      <c r="G8" s="1149"/>
      <c r="H8" s="171">
        <v>1.6</v>
      </c>
      <c r="I8" s="171">
        <v>1.46</v>
      </c>
      <c r="J8" s="171">
        <v>1.2</v>
      </c>
      <c r="K8" s="171">
        <f>ROUND(F8*H8*I8*J8,0)</f>
        <v>5825</v>
      </c>
      <c r="L8" s="172" t="s">
        <v>194</v>
      </c>
    </row>
    <row r="9" spans="1:12" x14ac:dyDescent="0.3">
      <c r="A9" s="1145" t="s">
        <v>196</v>
      </c>
      <c r="B9" s="1146"/>
      <c r="C9" s="1146"/>
      <c r="D9" s="1147"/>
      <c r="E9" s="170">
        <v>5</v>
      </c>
      <c r="F9" s="1148">
        <f t="shared" si="0"/>
        <v>2078</v>
      </c>
      <c r="G9" s="1149"/>
      <c r="H9" s="171">
        <v>1.6</v>
      </c>
      <c r="I9" s="171">
        <v>1.46</v>
      </c>
      <c r="J9" s="171">
        <v>1.54</v>
      </c>
      <c r="K9" s="171">
        <f t="shared" ref="K9:K12" si="1">ROUND(F9*H9*I9*J9,0)</f>
        <v>7475</v>
      </c>
      <c r="L9" s="172" t="s">
        <v>194</v>
      </c>
    </row>
    <row r="10" spans="1:12" x14ac:dyDescent="0.3">
      <c r="A10" s="1145" t="s">
        <v>197</v>
      </c>
      <c r="B10" s="1146"/>
      <c r="C10" s="1146"/>
      <c r="D10" s="1147"/>
      <c r="E10" s="170">
        <v>5</v>
      </c>
      <c r="F10" s="1148">
        <f t="shared" si="0"/>
        <v>2078</v>
      </c>
      <c r="G10" s="1149"/>
      <c r="H10" s="171">
        <v>1.6</v>
      </c>
      <c r="I10" s="171">
        <v>1.46</v>
      </c>
      <c r="J10" s="171">
        <v>1.54</v>
      </c>
      <c r="K10" s="171">
        <f t="shared" si="1"/>
        <v>7475</v>
      </c>
      <c r="L10" s="172" t="s">
        <v>194</v>
      </c>
    </row>
    <row r="11" spans="1:12" x14ac:dyDescent="0.3">
      <c r="A11" s="1145" t="s">
        <v>198</v>
      </c>
      <c r="B11" s="1146"/>
      <c r="C11" s="1146"/>
      <c r="D11" s="1147"/>
      <c r="E11" s="170">
        <v>5</v>
      </c>
      <c r="F11" s="1148">
        <f t="shared" si="0"/>
        <v>2078</v>
      </c>
      <c r="G11" s="1149"/>
      <c r="H11" s="171">
        <v>1.6</v>
      </c>
      <c r="I11" s="171">
        <v>1.46</v>
      </c>
      <c r="J11" s="171">
        <v>1.54</v>
      </c>
      <c r="K11" s="171">
        <f t="shared" si="1"/>
        <v>7475</v>
      </c>
      <c r="L11" s="172" t="s">
        <v>194</v>
      </c>
    </row>
    <row r="12" spans="1:12" x14ac:dyDescent="0.3">
      <c r="A12" s="1145" t="s">
        <v>195</v>
      </c>
      <c r="B12" s="1146"/>
      <c r="C12" s="1146"/>
      <c r="D12" s="1147"/>
      <c r="E12" s="170">
        <v>5</v>
      </c>
      <c r="F12" s="1148">
        <f t="shared" si="0"/>
        <v>2078</v>
      </c>
      <c r="G12" s="1149"/>
      <c r="H12" s="171">
        <v>1.6</v>
      </c>
      <c r="I12" s="171">
        <v>1.46</v>
      </c>
      <c r="J12" s="171">
        <v>1.54</v>
      </c>
      <c r="K12" s="171">
        <f t="shared" si="1"/>
        <v>7475</v>
      </c>
      <c r="L12" s="172" t="s">
        <v>194</v>
      </c>
    </row>
    <row r="13" spans="1:12" hidden="1" x14ac:dyDescent="0.3">
      <c r="A13" s="1150" t="s">
        <v>199</v>
      </c>
      <c r="B13" s="744"/>
      <c r="C13" s="744"/>
      <c r="D13" s="744"/>
      <c r="E13" s="170"/>
      <c r="F13" s="1151"/>
      <c r="G13" s="1152"/>
      <c r="H13" s="171"/>
      <c r="I13" s="171"/>
      <c r="J13" s="171">
        <v>1</v>
      </c>
      <c r="K13" s="171">
        <f>F13*H13*I13*J13</f>
        <v>0</v>
      </c>
      <c r="L13" s="172" t="s">
        <v>200</v>
      </c>
    </row>
    <row r="14" spans="1:12" x14ac:dyDescent="0.3">
      <c r="A14" s="173" t="s">
        <v>201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3">
      <c r="A15" s="37"/>
      <c r="B15" s="37"/>
      <c r="C15" s="173" t="s">
        <v>202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3">
      <c r="A16" s="174" t="s">
        <v>203</v>
      </c>
      <c r="B16" s="174" t="s">
        <v>204</v>
      </c>
      <c r="C16" s="174" t="s">
        <v>205</v>
      </c>
      <c r="D16" s="174" t="s">
        <v>206</v>
      </c>
      <c r="E16" s="174" t="s">
        <v>207</v>
      </c>
      <c r="F16" s="174" t="s">
        <v>208</v>
      </c>
      <c r="G16" s="37"/>
      <c r="H16" s="37"/>
      <c r="I16" s="37"/>
      <c r="J16" s="37"/>
      <c r="K16" s="37"/>
      <c r="L16" s="37"/>
    </row>
    <row r="17" spans="1:12" x14ac:dyDescent="0.3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3">
      <c r="A18" s="239" t="s">
        <v>830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3">
      <c r="A19" s="239" t="s">
        <v>285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3">
      <c r="A20" s="239" t="s">
        <v>286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3">
      <c r="A21" s="240" t="s">
        <v>287</v>
      </c>
      <c r="B21" s="240" t="s">
        <v>288</v>
      </c>
      <c r="C21" s="240" t="s">
        <v>289</v>
      </c>
      <c r="D21" s="240" t="s">
        <v>290</v>
      </c>
      <c r="E21" s="239"/>
      <c r="F21" s="239"/>
      <c r="G21" s="239"/>
      <c r="H21" s="239"/>
      <c r="I21" s="239"/>
      <c r="J21" s="239"/>
      <c r="K21" s="239"/>
      <c r="L21" s="239"/>
    </row>
    <row r="22" spans="1:12" x14ac:dyDescent="0.3">
      <c r="A22" s="241">
        <v>43586</v>
      </c>
      <c r="B22" s="242">
        <v>1921</v>
      </c>
      <c r="C22" s="243">
        <v>0</v>
      </c>
      <c r="D22" s="242">
        <f>B22*C22</f>
        <v>0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3">
      <c r="A23" s="241">
        <v>43647</v>
      </c>
      <c r="B23" s="242">
        <v>2007</v>
      </c>
      <c r="C23" s="243">
        <v>3</v>
      </c>
      <c r="D23" s="242">
        <f t="shared" ref="D23:D24" si="2">B23*C23</f>
        <v>6021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3">
      <c r="A24" s="241">
        <v>43800</v>
      </c>
      <c r="B24" s="242">
        <v>2102</v>
      </c>
      <c r="C24" s="243">
        <v>9</v>
      </c>
      <c r="D24" s="242">
        <f t="shared" si="2"/>
        <v>18918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3">
      <c r="A25" s="240"/>
      <c r="B25" s="240"/>
      <c r="C25" s="243">
        <f>SUM(C22:C24)</f>
        <v>12</v>
      </c>
      <c r="D25" s="242">
        <f>SUM(D22:D24)</f>
        <v>24939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3">
      <c r="A26" s="244" t="s">
        <v>291</v>
      </c>
      <c r="B26" s="244"/>
      <c r="C26" s="244"/>
      <c r="D26" s="245">
        <f>ROUND(D25/C25,0)</f>
        <v>2078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3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3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3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3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3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3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3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3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3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3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3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3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3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3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3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3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3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3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3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3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3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3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3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3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3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3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3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3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3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3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3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3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3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3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3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3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3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3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3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3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3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3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3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3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3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3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3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3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3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3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3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3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3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3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3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3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3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3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3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3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3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3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3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3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3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3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3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3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3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3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3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3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3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3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3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3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3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3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3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3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3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3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3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3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3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3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3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3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3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3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3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3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3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3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3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3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3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3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3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3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3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3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3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3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3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3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3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3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3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3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3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3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3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3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3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3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3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3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3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3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3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3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3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3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3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3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3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3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3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3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topLeftCell="A41" workbookViewId="0">
      <selection activeCell="D53" sqref="D53"/>
    </sheetView>
  </sheetViews>
  <sheetFormatPr defaultRowHeight="14.4" x14ac:dyDescent="0.3"/>
  <cols>
    <col min="1" max="1" width="8.44140625" customWidth="1"/>
    <col min="3" max="3" width="45.109375" customWidth="1"/>
    <col min="4" max="4" width="23.6640625" customWidth="1"/>
  </cols>
  <sheetData>
    <row r="1" spans="1:5" x14ac:dyDescent="0.3">
      <c r="A1" s="145"/>
      <c r="B1" s="1162" t="s">
        <v>155</v>
      </c>
      <c r="C1" s="1163"/>
      <c r="D1" s="1163"/>
      <c r="E1" s="146"/>
    </row>
    <row r="2" spans="1:5" x14ac:dyDescent="0.3">
      <c r="A2" s="145"/>
      <c r="B2" s="1164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Маршала Рибалки1</v>
      </c>
      <c r="C2" s="1164"/>
      <c r="D2" s="1164"/>
      <c r="E2" s="1164"/>
    </row>
    <row r="3" spans="1:5" ht="45.6" hidden="1" customHeight="1" x14ac:dyDescent="0.3">
      <c r="A3" s="147">
        <v>1</v>
      </c>
      <c r="B3" s="1158" t="s">
        <v>156</v>
      </c>
      <c r="C3" s="1159"/>
      <c r="D3" s="148"/>
      <c r="E3" s="149" t="s">
        <v>157</v>
      </c>
    </row>
    <row r="4" spans="1:5" ht="53.4" hidden="1" customHeight="1" x14ac:dyDescent="0.3">
      <c r="A4" s="147">
        <v>2</v>
      </c>
      <c r="B4" s="1158" t="s">
        <v>158</v>
      </c>
      <c r="C4" s="1159"/>
      <c r="D4" s="148"/>
      <c r="E4" s="149" t="s">
        <v>157</v>
      </c>
    </row>
    <row r="5" spans="1:5" ht="30" hidden="1" customHeight="1" x14ac:dyDescent="0.3">
      <c r="A5" s="147">
        <v>3</v>
      </c>
      <c r="B5" s="1158" t="s">
        <v>159</v>
      </c>
      <c r="C5" s="1159"/>
      <c r="D5" s="148"/>
      <c r="E5" s="149" t="s">
        <v>157</v>
      </c>
    </row>
    <row r="6" spans="1:5" ht="57.6" hidden="1" customHeight="1" x14ac:dyDescent="0.3">
      <c r="A6" s="147">
        <v>4</v>
      </c>
      <c r="B6" s="1158" t="s">
        <v>160</v>
      </c>
      <c r="C6" s="1159"/>
      <c r="D6" s="148"/>
      <c r="E6" s="149" t="s">
        <v>157</v>
      </c>
    </row>
    <row r="7" spans="1:5" hidden="1" x14ac:dyDescent="0.3">
      <c r="A7" s="147">
        <v>6</v>
      </c>
      <c r="B7" s="1158" t="s">
        <v>161</v>
      </c>
      <c r="C7" s="1159"/>
      <c r="D7" s="148">
        <f>[1]Таблица_Характеристика!J26</f>
        <v>0</v>
      </c>
      <c r="E7" s="149" t="s">
        <v>157</v>
      </c>
    </row>
    <row r="8" spans="1:5" hidden="1" x14ac:dyDescent="0.3">
      <c r="A8" s="147">
        <v>7</v>
      </c>
      <c r="B8" s="1158" t="s">
        <v>162</v>
      </c>
      <c r="C8" s="1159"/>
      <c r="D8" s="148"/>
      <c r="E8" s="149" t="s">
        <v>157</v>
      </c>
    </row>
    <row r="9" spans="1:5" x14ac:dyDescent="0.3">
      <c r="A9" s="147">
        <v>1</v>
      </c>
      <c r="B9" s="1158" t="s">
        <v>181</v>
      </c>
      <c r="C9" s="1159"/>
      <c r="D9" s="150">
        <v>600</v>
      </c>
      <c r="E9" s="149" t="s">
        <v>157</v>
      </c>
    </row>
    <row r="10" spans="1:5" x14ac:dyDescent="0.3">
      <c r="A10" s="674">
        <v>2</v>
      </c>
      <c r="B10" s="1160" t="s">
        <v>952</v>
      </c>
      <c r="C10" s="1161"/>
      <c r="D10" s="150">
        <v>365</v>
      </c>
      <c r="E10" s="149" t="s">
        <v>953</v>
      </c>
    </row>
    <row r="11" spans="1:5" x14ac:dyDescent="0.3">
      <c r="A11" s="674">
        <v>3</v>
      </c>
      <c r="B11" s="1160" t="s">
        <v>955</v>
      </c>
      <c r="C11" s="1161"/>
      <c r="D11" s="150">
        <v>1285</v>
      </c>
      <c r="E11" s="149" t="s">
        <v>953</v>
      </c>
    </row>
    <row r="12" spans="1:5" x14ac:dyDescent="0.3">
      <c r="A12" s="674">
        <v>4</v>
      </c>
      <c r="B12" s="1160" t="s">
        <v>980</v>
      </c>
      <c r="C12" s="1161"/>
      <c r="D12" s="150">
        <v>364</v>
      </c>
      <c r="E12" s="149" t="s">
        <v>953</v>
      </c>
    </row>
    <row r="13" spans="1:5" x14ac:dyDescent="0.3">
      <c r="A13" s="674">
        <v>5</v>
      </c>
      <c r="B13" s="1160" t="s">
        <v>981</v>
      </c>
      <c r="C13" s="1161"/>
      <c r="D13" s="150">
        <v>500</v>
      </c>
      <c r="E13" s="149" t="s">
        <v>953</v>
      </c>
    </row>
    <row r="14" spans="1:5" x14ac:dyDescent="0.3">
      <c r="A14" s="674">
        <v>6</v>
      </c>
      <c r="B14" s="1160" t="s">
        <v>954</v>
      </c>
      <c r="C14" s="1161"/>
      <c r="D14" s="150">
        <v>66</v>
      </c>
      <c r="E14" s="149" t="s">
        <v>164</v>
      </c>
    </row>
    <row r="15" spans="1:5" x14ac:dyDescent="0.3">
      <c r="A15" s="674">
        <v>7</v>
      </c>
      <c r="B15" s="1160" t="s">
        <v>956</v>
      </c>
      <c r="C15" s="1161"/>
      <c r="D15" s="150">
        <v>4</v>
      </c>
      <c r="E15" s="149" t="s">
        <v>164</v>
      </c>
    </row>
    <row r="16" spans="1:5" x14ac:dyDescent="0.3">
      <c r="A16" s="674">
        <v>8</v>
      </c>
      <c r="B16" s="1160" t="s">
        <v>957</v>
      </c>
      <c r="C16" s="1161"/>
      <c r="D16" s="150">
        <v>2</v>
      </c>
      <c r="E16" s="149" t="s">
        <v>164</v>
      </c>
    </row>
    <row r="17" spans="1:5" x14ac:dyDescent="0.3">
      <c r="A17" s="674">
        <v>9</v>
      </c>
      <c r="B17" s="1160" t="s">
        <v>958</v>
      </c>
      <c r="C17" s="1161"/>
      <c r="D17" s="150">
        <v>2</v>
      </c>
      <c r="E17" s="149" t="s">
        <v>164</v>
      </c>
    </row>
    <row r="18" spans="1:5" x14ac:dyDescent="0.3">
      <c r="A18" s="674">
        <v>10</v>
      </c>
      <c r="B18" s="1160" t="s">
        <v>959</v>
      </c>
      <c r="C18" s="1161"/>
      <c r="D18" s="150">
        <v>5</v>
      </c>
      <c r="E18" s="149" t="s">
        <v>960</v>
      </c>
    </row>
    <row r="19" spans="1:5" x14ac:dyDescent="0.3">
      <c r="A19" s="674">
        <v>11</v>
      </c>
      <c r="B19" s="1160" t="s">
        <v>961</v>
      </c>
      <c r="C19" s="1161"/>
      <c r="D19" s="150">
        <v>6</v>
      </c>
      <c r="E19" s="149" t="s">
        <v>960</v>
      </c>
    </row>
    <row r="20" spans="1:5" x14ac:dyDescent="0.3">
      <c r="A20" s="674">
        <v>12</v>
      </c>
      <c r="B20" s="1160" t="s">
        <v>962</v>
      </c>
      <c r="C20" s="1161"/>
      <c r="D20" s="150">
        <v>6</v>
      </c>
      <c r="E20" s="149" t="s">
        <v>960</v>
      </c>
    </row>
    <row r="21" spans="1:5" x14ac:dyDescent="0.3">
      <c r="A21" s="674">
        <v>13</v>
      </c>
      <c r="B21" s="1160" t="s">
        <v>963</v>
      </c>
      <c r="C21" s="1161"/>
      <c r="D21" s="150">
        <v>4</v>
      </c>
      <c r="E21" s="149" t="s">
        <v>960</v>
      </c>
    </row>
    <row r="22" spans="1:5" x14ac:dyDescent="0.3">
      <c r="A22" s="674">
        <v>14</v>
      </c>
      <c r="B22" s="1160" t="s">
        <v>611</v>
      </c>
      <c r="C22" s="1161"/>
      <c r="D22" s="150">
        <v>3</v>
      </c>
      <c r="E22" s="149" t="s">
        <v>960</v>
      </c>
    </row>
    <row r="23" spans="1:5" x14ac:dyDescent="0.3">
      <c r="A23" s="674">
        <v>15</v>
      </c>
      <c r="B23" s="1160" t="s">
        <v>834</v>
      </c>
      <c r="C23" s="1161"/>
      <c r="D23" s="150">
        <v>1</v>
      </c>
      <c r="E23" s="149" t="s">
        <v>964</v>
      </c>
    </row>
    <row r="24" spans="1:5" x14ac:dyDescent="0.3">
      <c r="A24" s="674">
        <v>16</v>
      </c>
      <c r="B24" s="1160" t="s">
        <v>965</v>
      </c>
      <c r="C24" s="1161"/>
      <c r="D24" s="150">
        <v>15</v>
      </c>
      <c r="E24" s="149" t="s">
        <v>964</v>
      </c>
    </row>
    <row r="25" spans="1:5" x14ac:dyDescent="0.3">
      <c r="A25" s="674">
        <v>17</v>
      </c>
      <c r="B25" s="1160" t="s">
        <v>966</v>
      </c>
      <c r="C25" s="1161"/>
      <c r="D25" s="150">
        <v>1</v>
      </c>
      <c r="E25" s="149" t="s">
        <v>964</v>
      </c>
    </row>
    <row r="26" spans="1:5" ht="28.8" customHeight="1" x14ac:dyDescent="0.3">
      <c r="A26" s="674">
        <v>18</v>
      </c>
      <c r="B26" s="1160" t="s">
        <v>856</v>
      </c>
      <c r="C26" s="1161"/>
      <c r="D26" s="150">
        <v>5</v>
      </c>
      <c r="E26" s="149" t="s">
        <v>953</v>
      </c>
    </row>
    <row r="27" spans="1:5" ht="30.6" customHeight="1" x14ac:dyDescent="0.3">
      <c r="A27" s="674">
        <v>19</v>
      </c>
      <c r="B27" s="1160" t="s">
        <v>860</v>
      </c>
      <c r="C27" s="1161"/>
      <c r="D27" s="150">
        <v>4</v>
      </c>
      <c r="E27" s="149" t="s">
        <v>953</v>
      </c>
    </row>
    <row r="28" spans="1:5" x14ac:dyDescent="0.3">
      <c r="A28" s="674">
        <v>20</v>
      </c>
      <c r="B28" s="1160" t="s">
        <v>895</v>
      </c>
      <c r="C28" s="1161"/>
      <c r="D28" s="150">
        <v>50</v>
      </c>
      <c r="E28" s="149" t="s">
        <v>164</v>
      </c>
    </row>
    <row r="29" spans="1:5" x14ac:dyDescent="0.3">
      <c r="A29" s="674">
        <v>21</v>
      </c>
      <c r="B29" s="1160" t="s">
        <v>970</v>
      </c>
      <c r="C29" s="1161"/>
      <c r="D29" s="150">
        <v>3</v>
      </c>
      <c r="E29" s="149" t="s">
        <v>164</v>
      </c>
    </row>
    <row r="30" spans="1:5" x14ac:dyDescent="0.3">
      <c r="A30" s="674">
        <v>22</v>
      </c>
      <c r="B30" s="1160" t="s">
        <v>967</v>
      </c>
      <c r="C30" s="1161"/>
      <c r="D30" s="150">
        <v>2</v>
      </c>
      <c r="E30" s="149" t="s">
        <v>164</v>
      </c>
    </row>
    <row r="31" spans="1:5" x14ac:dyDescent="0.3">
      <c r="A31" s="674">
        <v>23</v>
      </c>
      <c r="B31" s="1160" t="s">
        <v>968</v>
      </c>
      <c r="C31" s="1161"/>
      <c r="D31" s="150">
        <v>10</v>
      </c>
      <c r="E31" s="149" t="s">
        <v>164</v>
      </c>
    </row>
    <row r="32" spans="1:5" x14ac:dyDescent="0.3">
      <c r="A32" s="674">
        <v>24</v>
      </c>
      <c r="B32" s="1160" t="s">
        <v>879</v>
      </c>
      <c r="C32" s="1161"/>
      <c r="D32" s="150">
        <v>2</v>
      </c>
      <c r="E32" s="149" t="s">
        <v>164</v>
      </c>
    </row>
    <row r="33" spans="1:5" x14ac:dyDescent="0.3">
      <c r="A33" s="674">
        <v>25</v>
      </c>
      <c r="B33" s="1160" t="s">
        <v>883</v>
      </c>
      <c r="C33" s="1161"/>
      <c r="D33" s="150">
        <v>1</v>
      </c>
      <c r="E33" s="149" t="s">
        <v>164</v>
      </c>
    </row>
    <row r="34" spans="1:5" x14ac:dyDescent="0.3">
      <c r="A34" s="674">
        <v>26</v>
      </c>
      <c r="B34" s="1160" t="s">
        <v>886</v>
      </c>
      <c r="C34" s="1161"/>
      <c r="D34" s="150">
        <v>18</v>
      </c>
      <c r="E34" s="149" t="s">
        <v>164</v>
      </c>
    </row>
    <row r="35" spans="1:5" x14ac:dyDescent="0.3">
      <c r="A35" s="674">
        <v>27</v>
      </c>
      <c r="B35" s="1160" t="s">
        <v>889</v>
      </c>
      <c r="C35" s="1161"/>
      <c r="D35" s="150"/>
      <c r="E35" s="149" t="s">
        <v>164</v>
      </c>
    </row>
    <row r="36" spans="1:5" x14ac:dyDescent="0.3">
      <c r="A36" s="674">
        <v>28</v>
      </c>
      <c r="B36" s="1160" t="s">
        <v>892</v>
      </c>
      <c r="C36" s="1161"/>
      <c r="D36" s="150">
        <v>150</v>
      </c>
      <c r="E36" s="149" t="s">
        <v>969</v>
      </c>
    </row>
    <row r="37" spans="1:5" ht="27.6" customHeight="1" x14ac:dyDescent="0.3">
      <c r="A37" s="147">
        <v>29</v>
      </c>
      <c r="B37" s="1158" t="s">
        <v>163</v>
      </c>
      <c r="C37" s="1159"/>
      <c r="D37" s="148">
        <f>Характеристика!H44</f>
        <v>125</v>
      </c>
      <c r="E37" s="149" t="s">
        <v>157</v>
      </c>
    </row>
    <row r="38" spans="1:5" x14ac:dyDescent="0.3">
      <c r="A38" s="147">
        <v>30</v>
      </c>
      <c r="B38" s="1158" t="s">
        <v>165</v>
      </c>
      <c r="C38" s="1159"/>
      <c r="D38" s="150">
        <v>1100</v>
      </c>
      <c r="E38" s="149" t="s">
        <v>164</v>
      </c>
    </row>
    <row r="39" spans="1:5" hidden="1" x14ac:dyDescent="0.3">
      <c r="A39" s="147">
        <v>11</v>
      </c>
      <c r="B39" s="1158" t="s">
        <v>166</v>
      </c>
      <c r="C39" s="1159"/>
      <c r="D39" s="150">
        <v>5000</v>
      </c>
      <c r="E39" s="149" t="s">
        <v>164</v>
      </c>
    </row>
    <row r="40" spans="1:5" ht="28.2" customHeight="1" x14ac:dyDescent="0.3">
      <c r="A40" s="161">
        <v>31</v>
      </c>
      <c r="B40" s="1157" t="s">
        <v>167</v>
      </c>
      <c r="C40" s="1154"/>
      <c r="D40" s="151">
        <v>22</v>
      </c>
      <c r="E40" s="152" t="s">
        <v>168</v>
      </c>
    </row>
    <row r="41" spans="1:5" x14ac:dyDescent="0.3">
      <c r="A41" s="161">
        <v>32</v>
      </c>
      <c r="B41" s="153" t="s">
        <v>182</v>
      </c>
      <c r="C41" s="153"/>
      <c r="D41" s="151">
        <v>20</v>
      </c>
      <c r="E41" s="152" t="s">
        <v>168</v>
      </c>
    </row>
    <row r="42" spans="1:5" x14ac:dyDescent="0.3">
      <c r="A42" s="161">
        <v>33</v>
      </c>
      <c r="B42" s="154" t="s">
        <v>169</v>
      </c>
      <c r="C42" s="155"/>
      <c r="D42" s="151">
        <v>10</v>
      </c>
      <c r="E42" s="152" t="s">
        <v>168</v>
      </c>
    </row>
    <row r="43" spans="1:5" x14ac:dyDescent="0.3">
      <c r="A43" s="161">
        <v>34</v>
      </c>
      <c r="B43" s="1155" t="s">
        <v>170</v>
      </c>
      <c r="C43" s="1156"/>
      <c r="D43" s="156">
        <v>2019</v>
      </c>
      <c r="E43" s="152"/>
    </row>
    <row r="44" spans="1:5" x14ac:dyDescent="0.3">
      <c r="A44" s="161">
        <v>35</v>
      </c>
      <c r="B44" s="1155" t="s">
        <v>171</v>
      </c>
      <c r="C44" s="1156"/>
      <c r="D44" s="156">
        <v>250</v>
      </c>
      <c r="E44" s="152" t="s">
        <v>172</v>
      </c>
    </row>
    <row r="45" spans="1:5" x14ac:dyDescent="0.3">
      <c r="A45" s="161">
        <v>36</v>
      </c>
      <c r="B45" s="1155" t="s">
        <v>297</v>
      </c>
      <c r="C45" s="1156"/>
      <c r="D45" s="156">
        <v>302</v>
      </c>
      <c r="E45" s="152" t="s">
        <v>172</v>
      </c>
    </row>
    <row r="46" spans="1:5" x14ac:dyDescent="0.3">
      <c r="A46" s="161">
        <v>37</v>
      </c>
      <c r="B46" s="1155" t="s">
        <v>173</v>
      </c>
      <c r="C46" s="1156"/>
      <c r="D46" s="156">
        <v>1993</v>
      </c>
      <c r="E46" s="152" t="s">
        <v>174</v>
      </c>
    </row>
    <row r="47" spans="1:5" x14ac:dyDescent="0.3">
      <c r="A47" s="161">
        <v>38</v>
      </c>
      <c r="B47" s="1157" t="s">
        <v>175</v>
      </c>
      <c r="C47" s="1154"/>
      <c r="D47" s="151">
        <f>оклади!D26</f>
        <v>2078</v>
      </c>
      <c r="E47" s="152" t="s">
        <v>176</v>
      </c>
    </row>
    <row r="48" spans="1:5" x14ac:dyDescent="0.3">
      <c r="A48" s="161">
        <v>39</v>
      </c>
      <c r="B48" s="1157" t="s">
        <v>178</v>
      </c>
      <c r="C48" s="1154"/>
      <c r="D48" s="157">
        <v>0</v>
      </c>
      <c r="E48" s="152" t="s">
        <v>177</v>
      </c>
    </row>
    <row r="49" spans="1:5" x14ac:dyDescent="0.3">
      <c r="A49" s="161">
        <v>40</v>
      </c>
      <c r="B49" s="1157" t="s">
        <v>179</v>
      </c>
      <c r="C49" s="1154"/>
      <c r="D49" s="158">
        <f>Характеристика!L85</f>
        <v>1.4</v>
      </c>
      <c r="E49" s="152" t="s">
        <v>177</v>
      </c>
    </row>
    <row r="50" spans="1:5" x14ac:dyDescent="0.3">
      <c r="A50" s="161">
        <v>41</v>
      </c>
      <c r="B50" s="1154" t="s">
        <v>180</v>
      </c>
      <c r="C50" s="1154"/>
      <c r="D50" s="159">
        <v>295.14</v>
      </c>
      <c r="E50" s="160" t="s">
        <v>177</v>
      </c>
    </row>
    <row r="51" spans="1:5" x14ac:dyDescent="0.3">
      <c r="A51" s="161">
        <v>42</v>
      </c>
      <c r="B51" s="240" t="s">
        <v>746</v>
      </c>
      <c r="C51" s="240"/>
      <c r="D51" s="240">
        <v>263.83</v>
      </c>
      <c r="E51" s="152" t="s">
        <v>176</v>
      </c>
    </row>
    <row r="52" spans="1:5" x14ac:dyDescent="0.3">
      <c r="A52" s="161">
        <v>43</v>
      </c>
      <c r="B52" s="240" t="s">
        <v>908</v>
      </c>
      <c r="C52" s="240"/>
      <c r="D52" s="240">
        <v>0.65579290000000001</v>
      </c>
      <c r="E52" s="152" t="s">
        <v>176</v>
      </c>
    </row>
    <row r="53" spans="1:5" s="239" customFormat="1" ht="13.8" x14ac:dyDescent="0.25">
      <c r="A53" s="161">
        <v>44</v>
      </c>
      <c r="B53" s="1153" t="s">
        <v>951</v>
      </c>
      <c r="C53" s="1153"/>
      <c r="D53" s="240">
        <v>1528.78</v>
      </c>
      <c r="E53" s="152" t="s">
        <v>176</v>
      </c>
    </row>
  </sheetData>
  <mergeCells count="49">
    <mergeCell ref="B36:C36"/>
    <mergeCell ref="B28:C28"/>
    <mergeCell ref="B29:C29"/>
    <mergeCell ref="B31:C31"/>
    <mergeCell ref="B32:C32"/>
    <mergeCell ref="B33:C33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1:D1"/>
    <mergeCell ref="B2:E2"/>
    <mergeCell ref="B3:C3"/>
    <mergeCell ref="B4:C4"/>
    <mergeCell ref="B5:C5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53:C53"/>
    <mergeCell ref="B50:C50"/>
    <mergeCell ref="B46:C46"/>
    <mergeCell ref="B47:C47"/>
    <mergeCell ref="B48:C48"/>
    <mergeCell ref="B49:C4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1"/>
  <sheetViews>
    <sheetView tabSelected="1" zoomScaleNormal="100" workbookViewId="0">
      <selection activeCell="B20" sqref="B20"/>
    </sheetView>
  </sheetViews>
  <sheetFormatPr defaultRowHeight="15.6" x14ac:dyDescent="0.3"/>
  <cols>
    <col min="1" max="1" width="8.21875" style="3" customWidth="1"/>
    <col min="2" max="2" width="55.5546875" style="1" customWidth="1"/>
    <col min="3" max="3" width="17" style="1" customWidth="1"/>
    <col min="4" max="4" width="26.109375" style="1" customWidth="1"/>
    <col min="5" max="21" width="7.21875" style="1" customWidth="1"/>
    <col min="22" max="25" width="8.88671875" style="2"/>
  </cols>
  <sheetData>
    <row r="1" spans="1:25" x14ac:dyDescent="0.3">
      <c r="D1" s="654" t="s">
        <v>918</v>
      </c>
      <c r="E1" s="654"/>
      <c r="F1" s="410"/>
    </row>
    <row r="2" spans="1:25" x14ac:dyDescent="0.3">
      <c r="D2" s="412" t="s">
        <v>919</v>
      </c>
      <c r="E2" s="410"/>
      <c r="F2" s="410"/>
    </row>
    <row r="3" spans="1:25" ht="54" customHeight="1" x14ac:dyDescent="0.3">
      <c r="A3" s="1168" t="s">
        <v>12</v>
      </c>
      <c r="B3" s="1168"/>
      <c r="C3" s="1168"/>
      <c r="D3" s="1168"/>
    </row>
    <row r="4" spans="1:25" x14ac:dyDescent="0.3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КанівМаршала Рибалки1</v>
      </c>
      <c r="C4" s="411"/>
    </row>
    <row r="5" spans="1:25" ht="82.8" customHeight="1" x14ac:dyDescent="0.3">
      <c r="A5" s="4" t="s">
        <v>11</v>
      </c>
      <c r="B5" s="413" t="s">
        <v>914</v>
      </c>
      <c r="C5" s="4" t="s">
        <v>915</v>
      </c>
      <c r="D5" s="4" t="s">
        <v>916</v>
      </c>
    </row>
    <row r="6" spans="1:25" s="415" customFormat="1" ht="68.400000000000006" customHeight="1" x14ac:dyDescent="0.3">
      <c r="A6" s="6">
        <v>1</v>
      </c>
      <c r="B6" s="413" t="s">
        <v>978</v>
      </c>
      <c r="C6" s="655">
        <f>'ТО внутріньобудин'!H16</f>
        <v>63252.097195928887</v>
      </c>
      <c r="D6" s="656">
        <f>'ТО внутріньобудин'!K18</f>
        <v>1.8833100256040949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x14ac:dyDescent="0.3">
      <c r="A7" s="6">
        <v>2</v>
      </c>
      <c r="B7" s="5" t="s">
        <v>0</v>
      </c>
      <c r="C7" s="657">
        <f>ліфти!I13</f>
        <v>0</v>
      </c>
      <c r="D7" s="402">
        <f>ліфти!I15</f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3">
      <c r="A8" s="6">
        <v>3</v>
      </c>
      <c r="B8" s="416" t="s">
        <v>1</v>
      </c>
      <c r="C8" s="658">
        <f>диспетчериз!G15</f>
        <v>0</v>
      </c>
      <c r="D8" s="402">
        <f>диспетчериз!G17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399999999999999" customHeight="1" x14ac:dyDescent="0.3">
      <c r="A9" s="6">
        <v>4</v>
      </c>
      <c r="B9" s="416" t="s">
        <v>944</v>
      </c>
      <c r="C9" s="658">
        <f>вентканали!F23</f>
        <v>3996.0991900426634</v>
      </c>
      <c r="D9" s="402">
        <f>вентканали!F25</f>
        <v>0.11898251602004022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5.400000000000006" customHeight="1" x14ac:dyDescent="0.3">
      <c r="A10" s="6">
        <v>5</v>
      </c>
      <c r="B10" s="416" t="s">
        <v>767</v>
      </c>
      <c r="C10" s="658">
        <v>0</v>
      </c>
      <c r="D10" s="402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94.8" customHeight="1" x14ac:dyDescent="0.3">
      <c r="A11" s="6">
        <v>6</v>
      </c>
      <c r="B11" s="416" t="s">
        <v>917</v>
      </c>
      <c r="C11" s="658">
        <f>'поточ рем. констр.ел '!H15</f>
        <v>31724.390832542776</v>
      </c>
      <c r="D11" s="402">
        <f>'поточ рем. констр.ел '!H17</f>
        <v>0.94458431091130635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48" customHeight="1" x14ac:dyDescent="0.3">
      <c r="A12" s="6">
        <v>7</v>
      </c>
      <c r="B12" s="420" t="s">
        <v>979</v>
      </c>
      <c r="C12" s="658">
        <f>'поточ рем. внутр.б.мереж'!H15</f>
        <v>25926.965770680945</v>
      </c>
      <c r="D12" s="402">
        <f>'поточ рем. внутр.б.мереж'!H17</f>
        <v>0.77196791990260538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55.2" customHeight="1" x14ac:dyDescent="0.3">
      <c r="A13" s="6">
        <v>8</v>
      </c>
      <c r="B13" s="413" t="s">
        <v>3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23.4" customHeight="1" x14ac:dyDescent="0.3">
      <c r="A14" s="6">
        <v>9</v>
      </c>
      <c r="B14" s="413" t="s">
        <v>4</v>
      </c>
      <c r="C14" s="655">
        <f>прибирання!G16</f>
        <v>40724.973054168142</v>
      </c>
      <c r="D14" s="417">
        <f>прибирання!G18</f>
        <v>1.2130000000000001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30.6" customHeight="1" x14ac:dyDescent="0.3">
      <c r="A15" s="6">
        <v>10</v>
      </c>
      <c r="B15" s="416" t="s">
        <v>5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8" customHeight="1" x14ac:dyDescent="0.3">
      <c r="A16" s="6">
        <v>11</v>
      </c>
      <c r="B16" s="416" t="s">
        <v>937</v>
      </c>
      <c r="C16" s="658">
        <f>Сніг!G23</f>
        <v>3976.3033998692736</v>
      </c>
      <c r="D16" s="402">
        <f>Сніг!G25</f>
        <v>0.11839310299262996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x14ac:dyDescent="0.3">
      <c r="A17" s="6">
        <v>12</v>
      </c>
      <c r="B17" s="5" t="s">
        <v>6</v>
      </c>
      <c r="C17" s="657">
        <f>дератизація!F13</f>
        <v>1295.6209639352928</v>
      </c>
      <c r="D17" s="402">
        <f>дератизація!F15</f>
        <v>3.8576680599283403E-2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3">
      <c r="A18" s="6">
        <v>13</v>
      </c>
      <c r="B18" s="5" t="s">
        <v>7</v>
      </c>
      <c r="C18" s="657">
        <v>0</v>
      </c>
      <c r="D18" s="402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2" customHeight="1" x14ac:dyDescent="0.3">
      <c r="A19" s="6">
        <v>14</v>
      </c>
      <c r="B19" s="416" t="s">
        <v>946</v>
      </c>
      <c r="C19" s="658">
        <f>освітлення!K13</f>
        <v>21101.346765959468</v>
      </c>
      <c r="D19" s="402">
        <f>освітлення!K15</f>
        <v>0.6282855380269956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12" customFormat="1" x14ac:dyDescent="0.3">
      <c r="A20" s="7">
        <v>15</v>
      </c>
      <c r="B20" s="9" t="s">
        <v>8</v>
      </c>
      <c r="C20" s="659">
        <f>ROUND((C6+C7+C8+C9+C10+C11+C12+C13+C14+C15+C16+C17+C18+C19)*розрахунок!D42/100,2)</f>
        <v>19199.78</v>
      </c>
      <c r="D20" s="403">
        <f>ROUND((D6+D7+D8+D9+D10+D11+D12+D13+D14+D15+D16+D17+D18+D19)*розрахунок!D42/100,3)</f>
        <v>0.57199999999999995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3">
      <c r="A21" s="7">
        <v>16</v>
      </c>
      <c r="B21" s="9" t="s">
        <v>9</v>
      </c>
      <c r="C21" s="9">
        <f>ROUND((C6+C7+C8+C9+C10+C11+C12+C13+C14+C15+C16+C17+C18+C19+C20)*0.2,2)</f>
        <v>42239.519999999997</v>
      </c>
      <c r="D21" s="403">
        <f>ROUND((D6+D7+D8+D9+D10+D11+D12+D13+D14+D15+D16+D17+D18+D19+D20)*розрахунок!D41/100,3)</f>
        <v>1.258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ht="31.2" x14ac:dyDescent="0.3">
      <c r="A22" s="7">
        <v>17</v>
      </c>
      <c r="B22" s="8" t="s">
        <v>10</v>
      </c>
      <c r="C22" s="660">
        <f>C6+C7+C8+C9+C10+C11+C12+C13+C14+C15+C16+C17+C18+C19+C20+C21</f>
        <v>253437.09717312743</v>
      </c>
      <c r="D22" s="659">
        <f>D21+D20+D19+D18+D17+D16+D15+D14+D13+D12+D11+D10+D9+D8+D7+D6</f>
        <v>7.5471000940569555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3">
      <c r="A23" s="1170" t="s">
        <v>920</v>
      </c>
      <c r="B23" s="1170"/>
      <c r="C23" s="1170"/>
      <c r="D23" s="1170"/>
    </row>
    <row r="24" spans="1:25" x14ac:dyDescent="0.3">
      <c r="A24" s="1171" t="s">
        <v>921</v>
      </c>
      <c r="B24" s="1171"/>
      <c r="C24" s="1171"/>
      <c r="D24" s="1171"/>
    </row>
    <row r="25" spans="1:25" x14ac:dyDescent="0.3">
      <c r="A25" s="1171" t="s">
        <v>924</v>
      </c>
      <c r="B25" s="1171"/>
      <c r="C25" s="1171"/>
      <c r="D25" s="1171"/>
    </row>
    <row r="26" spans="1:25" x14ac:dyDescent="0.3">
      <c r="A26" s="661" t="s">
        <v>922</v>
      </c>
      <c r="B26" s="661"/>
      <c r="C26" s="661"/>
      <c r="D26" s="661" t="s">
        <v>923</v>
      </c>
    </row>
    <row r="29" spans="1:25" ht="125.4" customHeight="1" x14ac:dyDescent="0.3">
      <c r="A29" s="1167" t="s">
        <v>484</v>
      </c>
      <c r="B29" s="1169"/>
      <c r="C29" s="1169"/>
      <c r="D29" s="1169"/>
    </row>
    <row r="30" spans="1:25" ht="195" customHeight="1" x14ac:dyDescent="0.3">
      <c r="A30" s="1165" t="s">
        <v>293</v>
      </c>
      <c r="B30" s="1166"/>
      <c r="C30" s="1166"/>
      <c r="D30" s="1166"/>
    </row>
    <row r="31" spans="1:25" ht="109.2" customHeight="1" x14ac:dyDescent="0.3">
      <c r="A31" s="1167" t="s">
        <v>294</v>
      </c>
      <c r="B31" s="1167"/>
      <c r="C31" s="1167"/>
      <c r="D31" s="1167"/>
    </row>
  </sheetData>
  <mergeCells count="7">
    <mergeCell ref="A30:D30"/>
    <mergeCell ref="A31:D31"/>
    <mergeCell ref="A3:D3"/>
    <mergeCell ref="A29:D29"/>
    <mergeCell ref="A23:D23"/>
    <mergeCell ref="A24:D24"/>
    <mergeCell ref="A25:D2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6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topLeftCell="A43" zoomScaleNormal="100" workbookViewId="0">
      <selection activeCell="D33" sqref="D33"/>
    </sheetView>
  </sheetViews>
  <sheetFormatPr defaultRowHeight="14.4" x14ac:dyDescent="0.3"/>
  <cols>
    <col min="3" max="3" width="16" customWidth="1"/>
    <col min="4" max="4" width="9.44140625" customWidth="1"/>
  </cols>
  <sheetData>
    <row r="1" spans="1:10" x14ac:dyDescent="0.3">
      <c r="A1" s="1175" t="str">
        <f>CONCATENATE(кошторис!B4)</f>
        <v>м. КанівМаршала Рибалки1</v>
      </c>
      <c r="B1" s="1176"/>
      <c r="C1" s="1176"/>
      <c r="D1" s="933"/>
      <c r="E1" s="933"/>
      <c r="F1" s="176"/>
      <c r="G1" s="1177" t="s">
        <v>210</v>
      </c>
      <c r="H1" s="1177"/>
      <c r="I1" s="1177"/>
      <c r="J1" s="1177"/>
    </row>
    <row r="2" spans="1:10" x14ac:dyDescent="0.3">
      <c r="A2" s="176"/>
      <c r="B2" s="176"/>
      <c r="C2" s="176"/>
      <c r="D2" s="176"/>
      <c r="E2" s="176"/>
      <c r="F2" s="176"/>
      <c r="G2" s="1177" t="s">
        <v>931</v>
      </c>
      <c r="H2" s="1177"/>
      <c r="I2" s="1177"/>
      <c r="J2" s="1177"/>
    </row>
    <row r="3" spans="1:10" x14ac:dyDescent="0.3">
      <c r="A3" s="176"/>
      <c r="B3" s="176"/>
      <c r="C3" s="176"/>
      <c r="D3" s="176"/>
      <c r="E3" s="176"/>
      <c r="F3" s="1181" t="s">
        <v>932</v>
      </c>
      <c r="G3" s="1181"/>
      <c r="H3" s="1181"/>
      <c r="I3" s="1181"/>
      <c r="J3" s="1181"/>
    </row>
    <row r="4" spans="1:10" x14ac:dyDescent="0.3">
      <c r="A4" s="176"/>
      <c r="B4" s="176"/>
      <c r="C4" s="176"/>
      <c r="D4" s="176"/>
      <c r="E4" s="176"/>
      <c r="F4" s="176"/>
      <c r="G4" s="247"/>
      <c r="H4" s="248"/>
      <c r="I4" s="1178" t="s">
        <v>292</v>
      </c>
      <c r="J4" s="1178"/>
    </row>
    <row r="5" spans="1:10" x14ac:dyDescent="0.3">
      <c r="A5" s="176"/>
      <c r="B5" s="176"/>
      <c r="C5" s="176"/>
      <c r="D5" s="176"/>
      <c r="E5" s="176"/>
      <c r="F5" s="176"/>
      <c r="G5" s="1177"/>
      <c r="H5" s="1177"/>
      <c r="I5" s="1177"/>
      <c r="J5" s="1177"/>
    </row>
    <row r="6" spans="1:10" x14ac:dyDescent="0.3">
      <c r="A6" s="1179" t="s">
        <v>296</v>
      </c>
      <c r="B6" s="1179"/>
      <c r="C6" s="1179"/>
      <c r="D6" s="1179"/>
      <c r="E6" s="1179"/>
      <c r="F6" s="1179"/>
      <c r="G6" s="1179"/>
      <c r="H6" s="1179"/>
      <c r="I6" s="1179"/>
      <c r="J6" s="1179"/>
    </row>
    <row r="7" spans="1:10" x14ac:dyDescent="0.3">
      <c r="A7" s="1179" t="s">
        <v>211</v>
      </c>
      <c r="B7" s="1179"/>
      <c r="C7" s="1179"/>
      <c r="D7" s="1179"/>
      <c r="E7" s="1179"/>
      <c r="F7" s="1179"/>
      <c r="G7" s="1179"/>
      <c r="H7" s="1179"/>
      <c r="I7" s="1179"/>
      <c r="J7" s="1179"/>
    </row>
    <row r="8" spans="1:10" x14ac:dyDescent="0.3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399999999999999" customHeight="1" x14ac:dyDescent="0.3">
      <c r="A9" s="1180" t="s">
        <v>295</v>
      </c>
      <c r="B9" s="1180"/>
      <c r="C9" s="1180"/>
      <c r="D9" s="1180"/>
      <c r="E9" s="1180"/>
      <c r="F9" s="1180"/>
      <c r="G9" s="1180"/>
      <c r="H9" s="1180"/>
      <c r="I9" s="1180"/>
      <c r="J9" s="1180"/>
    </row>
    <row r="10" spans="1:10" ht="26.4" x14ac:dyDescent="0.3">
      <c r="A10" s="179" t="s">
        <v>212</v>
      </c>
      <c r="B10" s="1172" t="s">
        <v>213</v>
      </c>
      <c r="C10" s="1173"/>
      <c r="D10" s="1173"/>
      <c r="E10" s="1173"/>
      <c r="F10" s="179" t="s">
        <v>214</v>
      </c>
      <c r="G10" s="1172" t="s">
        <v>215</v>
      </c>
      <c r="H10" s="1173"/>
      <c r="I10" s="1172" t="s">
        <v>216</v>
      </c>
      <c r="J10" s="1174"/>
    </row>
    <row r="11" spans="1:10" x14ac:dyDescent="0.3">
      <c r="A11" s="179">
        <v>1</v>
      </c>
      <c r="B11" s="1182" t="s">
        <v>299</v>
      </c>
      <c r="C11" s="1159"/>
      <c r="D11" s="1159"/>
      <c r="E11" s="1159"/>
      <c r="F11" s="256" t="s">
        <v>177</v>
      </c>
      <c r="G11" s="1184">
        <f>I11*12</f>
        <v>17043.011118514805</v>
      </c>
      <c r="H11" s="1185"/>
      <c r="I11" s="1184">
        <f>I43+I44</f>
        <v>1420.2509265429003</v>
      </c>
      <c r="J11" s="1186"/>
    </row>
    <row r="12" spans="1:10" ht="28.2" customHeight="1" x14ac:dyDescent="0.3">
      <c r="A12" s="179">
        <v>2</v>
      </c>
      <c r="B12" s="1187" t="s">
        <v>300</v>
      </c>
      <c r="C12" s="1188"/>
      <c r="D12" s="1188"/>
      <c r="E12" s="1188"/>
      <c r="F12" s="256" t="s">
        <v>177</v>
      </c>
      <c r="G12" s="1184">
        <f>I12*12</f>
        <v>3749.5199999999995</v>
      </c>
      <c r="H12" s="1185"/>
      <c r="I12" s="1184">
        <f>ROUND(I11*розрахунок!D40/100,2)</f>
        <v>312.45999999999998</v>
      </c>
      <c r="J12" s="1186"/>
    </row>
    <row r="13" spans="1:10" x14ac:dyDescent="0.3">
      <c r="A13" s="179">
        <v>3</v>
      </c>
      <c r="B13" s="1182" t="s">
        <v>301</v>
      </c>
      <c r="C13" s="1183"/>
      <c r="D13" s="1183"/>
      <c r="E13" s="1183"/>
      <c r="F13" s="256" t="s">
        <v>177</v>
      </c>
      <c r="G13" s="1184">
        <f>I13*12</f>
        <v>14022.607160826445</v>
      </c>
      <c r="H13" s="1185"/>
      <c r="I13" s="1184">
        <f>I51</f>
        <v>1168.5505967355371</v>
      </c>
      <c r="J13" s="1186"/>
    </row>
    <row r="14" spans="1:10" x14ac:dyDescent="0.3">
      <c r="A14" s="179">
        <v>4</v>
      </c>
      <c r="B14" s="1182" t="s">
        <v>485</v>
      </c>
      <c r="C14" s="1183"/>
      <c r="D14" s="1183"/>
      <c r="E14" s="1183"/>
      <c r="F14" s="256" t="s">
        <v>177</v>
      </c>
      <c r="G14" s="1184">
        <f>I14*12</f>
        <v>865.87477482689405</v>
      </c>
      <c r="H14" s="1185"/>
      <c r="I14" s="1184">
        <f>інвентар!I7+інвентар!I12</f>
        <v>72.156231235574509</v>
      </c>
      <c r="J14" s="1186"/>
    </row>
    <row r="15" spans="1:10" x14ac:dyDescent="0.3">
      <c r="A15" s="179">
        <v>5</v>
      </c>
      <c r="B15" s="1182" t="s">
        <v>486</v>
      </c>
      <c r="C15" s="1183"/>
      <c r="D15" s="1183"/>
      <c r="E15" s="1183"/>
      <c r="F15" s="256" t="s">
        <v>177</v>
      </c>
      <c r="G15" s="1184">
        <f>I15*12</f>
        <v>5043.96</v>
      </c>
      <c r="H15" s="1185"/>
      <c r="I15" s="1189">
        <v>420.33</v>
      </c>
      <c r="J15" s="1190"/>
    </row>
    <row r="16" spans="1:10" x14ac:dyDescent="0.3">
      <c r="A16" s="179">
        <v>6</v>
      </c>
      <c r="B16" s="1191" t="s">
        <v>217</v>
      </c>
      <c r="C16" s="1192"/>
      <c r="D16" s="1192"/>
      <c r="E16" s="1192"/>
      <c r="F16" s="179" t="s">
        <v>177</v>
      </c>
      <c r="G16" s="1193">
        <f>SUM(G11:G15)</f>
        <v>40724.973054168142</v>
      </c>
      <c r="H16" s="1194"/>
      <c r="I16" s="1193">
        <f>SUM(I11:I15)</f>
        <v>3393.7477545140118</v>
      </c>
      <c r="J16" s="1195"/>
    </row>
    <row r="17" spans="1:10" ht="22.8" customHeight="1" x14ac:dyDescent="0.3">
      <c r="A17" s="179">
        <v>7</v>
      </c>
      <c r="B17" s="1196" t="str">
        <f>Характеристика!A18</f>
        <v>Загальна площа будинку</v>
      </c>
      <c r="C17" s="1197"/>
      <c r="D17" s="1197"/>
      <c r="E17" s="1197"/>
      <c r="F17" s="179" t="s">
        <v>219</v>
      </c>
      <c r="G17" s="1198">
        <f>Характеристика!N18</f>
        <v>2798.8</v>
      </c>
      <c r="H17" s="1199"/>
      <c r="I17" s="1199"/>
      <c r="J17" s="1200"/>
    </row>
    <row r="18" spans="1:10" x14ac:dyDescent="0.3">
      <c r="A18" s="179">
        <v>8</v>
      </c>
      <c r="B18" s="1191" t="s">
        <v>487</v>
      </c>
      <c r="C18" s="1173"/>
      <c r="D18" s="1173"/>
      <c r="E18" s="1173"/>
      <c r="F18" s="179" t="s">
        <v>177</v>
      </c>
      <c r="G18" s="1201">
        <f>ROUND(I16/G17,3)</f>
        <v>1.2130000000000001</v>
      </c>
      <c r="H18" s="1202"/>
      <c r="I18" s="1203"/>
      <c r="J18" s="1204"/>
    </row>
    <row r="19" spans="1:10" x14ac:dyDescent="0.3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3">
      <c r="A20" s="178" t="s">
        <v>220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3">
      <c r="A21" s="1205" t="s">
        <v>221</v>
      </c>
      <c r="B21" s="1205"/>
      <c r="C21" s="1205"/>
      <c r="D21" s="1205"/>
      <c r="E21" s="1205"/>
      <c r="F21" s="1205"/>
      <c r="G21" s="1205"/>
      <c r="H21" s="1205"/>
      <c r="I21" s="1205"/>
      <c r="J21" s="1205"/>
    </row>
    <row r="22" spans="1:10" ht="23.4" customHeight="1" x14ac:dyDescent="0.3">
      <c r="A22" s="1206" t="s">
        <v>283</v>
      </c>
      <c r="B22" s="1207"/>
      <c r="C22" s="1207"/>
      <c r="D22" s="1207"/>
      <c r="E22" s="1207"/>
      <c r="F22" s="1207"/>
      <c r="G22" s="1207"/>
      <c r="H22" s="1207"/>
      <c r="I22" s="1207"/>
      <c r="J22" s="1207"/>
    </row>
    <row r="23" spans="1:10" x14ac:dyDescent="0.3">
      <c r="A23" s="1222" t="s">
        <v>266</v>
      </c>
      <c r="B23" s="1223"/>
      <c r="C23" s="1223"/>
      <c r="D23" s="1223"/>
      <c r="E23" s="1224" t="s">
        <v>222</v>
      </c>
      <c r="F23" s="1224"/>
      <c r="G23" s="184">
        <f>розрахунок!D45</f>
        <v>302</v>
      </c>
      <c r="H23" s="1224" t="s">
        <v>223</v>
      </c>
      <c r="I23" s="1224"/>
      <c r="J23" s="184">
        <f>розрахунок!D46</f>
        <v>1993</v>
      </c>
    </row>
    <row r="24" spans="1:10" x14ac:dyDescent="0.3">
      <c r="A24" s="185" t="s">
        <v>224</v>
      </c>
      <c r="B24" s="1225" t="s">
        <v>225</v>
      </c>
      <c r="C24" s="1225"/>
      <c r="D24" s="1225"/>
      <c r="E24" s="1225"/>
      <c r="F24" s="1225"/>
      <c r="G24" s="186"/>
      <c r="H24" s="186"/>
      <c r="I24" s="186"/>
      <c r="J24" s="187"/>
    </row>
    <row r="25" spans="1:10" ht="91.8" x14ac:dyDescent="0.3">
      <c r="A25" s="188" t="s">
        <v>226</v>
      </c>
      <c r="B25" s="1226" t="s">
        <v>227</v>
      </c>
      <c r="C25" s="1227"/>
      <c r="D25" s="189" t="s">
        <v>228</v>
      </c>
      <c r="E25" s="190" t="s">
        <v>229</v>
      </c>
      <c r="F25" s="1228" t="s">
        <v>230</v>
      </c>
      <c r="G25" s="1227"/>
      <c r="H25" s="191" t="s">
        <v>231</v>
      </c>
      <c r="I25" s="192" t="s">
        <v>232</v>
      </c>
      <c r="J25" s="192" t="s">
        <v>233</v>
      </c>
    </row>
    <row r="26" spans="1:10" x14ac:dyDescent="0.3">
      <c r="A26" s="193">
        <v>1</v>
      </c>
      <c r="B26" s="1215">
        <v>2</v>
      </c>
      <c r="C26" s="1216"/>
      <c r="D26" s="194">
        <v>3</v>
      </c>
      <c r="E26" s="194">
        <v>4</v>
      </c>
      <c r="F26" s="1217">
        <v>5</v>
      </c>
      <c r="G26" s="1218"/>
      <c r="H26" s="194">
        <v>6</v>
      </c>
      <c r="I26" s="194">
        <v>7</v>
      </c>
      <c r="J26" s="194">
        <v>8</v>
      </c>
    </row>
    <row r="27" spans="1:10" x14ac:dyDescent="0.3">
      <c r="A27" s="195" t="s">
        <v>98</v>
      </c>
      <c r="B27" s="1208" t="s">
        <v>234</v>
      </c>
      <c r="C27" s="1219"/>
      <c r="D27" s="1209"/>
      <c r="E27" s="1209"/>
      <c r="F27" s="1209"/>
      <c r="G27" s="1209"/>
      <c r="H27" s="1209"/>
      <c r="I27" s="1209"/>
      <c r="J27" s="1210"/>
    </row>
    <row r="28" spans="1:10" s="253" customFormat="1" ht="25.8" customHeight="1" x14ac:dyDescent="0.3">
      <c r="A28" s="195"/>
      <c r="B28" s="1211" t="s">
        <v>298</v>
      </c>
      <c r="C28" s="1220"/>
      <c r="D28" s="249">
        <f>Характеристика!H41</f>
        <v>680</v>
      </c>
      <c r="E28" s="250">
        <v>282</v>
      </c>
      <c r="F28" s="1221">
        <v>0.2</v>
      </c>
      <c r="G28" s="1190"/>
      <c r="H28" s="249">
        <f t="shared" ref="H28" si="0">(D28/100)*F28*E28</f>
        <v>383.52000000000004</v>
      </c>
      <c r="I28" s="251">
        <v>21</v>
      </c>
      <c r="J28" s="252" t="s">
        <v>235</v>
      </c>
    </row>
    <row r="29" spans="1:10" x14ac:dyDescent="0.3">
      <c r="A29" s="195" t="s">
        <v>236</v>
      </c>
      <c r="B29" s="1208" t="s">
        <v>246</v>
      </c>
      <c r="C29" s="1209"/>
      <c r="D29" s="1209"/>
      <c r="E29" s="1209"/>
      <c r="F29" s="1209"/>
      <c r="G29" s="1210"/>
      <c r="H29" s="200"/>
      <c r="I29" s="201"/>
      <c r="J29" s="202"/>
    </row>
    <row r="30" spans="1:10" x14ac:dyDescent="0.3">
      <c r="A30" s="195"/>
      <c r="B30" s="1211" t="s">
        <v>247</v>
      </c>
      <c r="C30" s="1212"/>
      <c r="D30" s="203"/>
      <c r="E30" s="204"/>
      <c r="F30" s="1213">
        <v>0.28000000000000003</v>
      </c>
      <c r="G30" s="1214"/>
      <c r="H30" s="196">
        <f>D30/100*F30*E30</f>
        <v>0</v>
      </c>
      <c r="I30" s="205" t="s">
        <v>248</v>
      </c>
      <c r="J30" s="206" t="s">
        <v>249</v>
      </c>
    </row>
    <row r="31" spans="1:10" x14ac:dyDescent="0.3">
      <c r="A31" s="195"/>
      <c r="B31" s="1211" t="s">
        <v>250</v>
      </c>
      <c r="C31" s="1212"/>
      <c r="D31" s="203">
        <f>Характеристика!L55</f>
        <v>1500</v>
      </c>
      <c r="E31" s="204">
        <v>2</v>
      </c>
      <c r="F31" s="1213">
        <v>0.42</v>
      </c>
      <c r="G31" s="1214"/>
      <c r="H31" s="196">
        <f>D31/100*F31*E31</f>
        <v>12.6</v>
      </c>
      <c r="I31" s="205" t="s">
        <v>248</v>
      </c>
      <c r="J31" s="206"/>
    </row>
    <row r="32" spans="1:10" x14ac:dyDescent="0.3">
      <c r="A32" s="195" t="s">
        <v>240</v>
      </c>
      <c r="B32" s="1229" t="s">
        <v>251</v>
      </c>
      <c r="C32" s="1159"/>
      <c r="D32" s="1159"/>
      <c r="E32" s="1159"/>
      <c r="F32" s="1159"/>
      <c r="G32" s="1159"/>
      <c r="H32" s="207"/>
      <c r="I32" s="207"/>
      <c r="J32" s="207"/>
    </row>
    <row r="33" spans="1:10" ht="23.4" customHeight="1" x14ac:dyDescent="0.3">
      <c r="A33" s="208"/>
      <c r="B33" s="1238" t="s">
        <v>252</v>
      </c>
      <c r="C33" s="1161"/>
      <c r="D33" s="196">
        <f>Характеристика!H53</f>
        <v>1670</v>
      </c>
      <c r="E33" s="197">
        <v>52</v>
      </c>
      <c r="F33" s="1213">
        <v>0.13</v>
      </c>
      <c r="G33" s="1239"/>
      <c r="H33" s="196">
        <f>D33/100*F33*E33</f>
        <v>112.892</v>
      </c>
      <c r="I33" s="198">
        <v>34</v>
      </c>
      <c r="J33" s="199" t="s">
        <v>253</v>
      </c>
    </row>
    <row r="34" spans="1:10" s="255" customFormat="1" ht="45.6" customHeight="1" x14ac:dyDescent="0.3">
      <c r="A34" s="254" t="s">
        <v>241</v>
      </c>
      <c r="B34" s="1240" t="s">
        <v>254</v>
      </c>
      <c r="C34" s="1241"/>
      <c r="D34" s="249">
        <f>Характеристика!N56</f>
        <v>6</v>
      </c>
      <c r="E34" s="250">
        <v>1</v>
      </c>
      <c r="F34" s="1221">
        <v>3.8</v>
      </c>
      <c r="G34" s="1242"/>
      <c r="H34" s="249">
        <f>D34*E34*F34</f>
        <v>22.799999999999997</v>
      </c>
      <c r="I34" s="251">
        <v>39</v>
      </c>
      <c r="J34" s="238" t="s">
        <v>255</v>
      </c>
    </row>
    <row r="35" spans="1:10" x14ac:dyDescent="0.3">
      <c r="A35" s="209" t="s">
        <v>256</v>
      </c>
      <c r="B35" s="1234" t="s">
        <v>257</v>
      </c>
      <c r="C35" s="1235"/>
      <c r="D35" s="210">
        <v>0</v>
      </c>
      <c r="E35" s="211">
        <v>52</v>
      </c>
      <c r="F35" s="1236">
        <v>0.37</v>
      </c>
      <c r="G35" s="1237"/>
      <c r="H35" s="196">
        <f>F35/10*D35*E35</f>
        <v>0</v>
      </c>
      <c r="I35" s="212">
        <v>36</v>
      </c>
      <c r="J35" s="213" t="s">
        <v>258</v>
      </c>
    </row>
    <row r="36" spans="1:10" ht="28.2" customHeight="1" x14ac:dyDescent="0.3">
      <c r="A36" s="209" t="s">
        <v>259</v>
      </c>
      <c r="B36" s="1234" t="s">
        <v>260</v>
      </c>
      <c r="C36" s="1235"/>
      <c r="D36" s="231">
        <f>Характеристика!G56</f>
        <v>4</v>
      </c>
      <c r="E36" s="211">
        <v>282</v>
      </c>
      <c r="F36" s="1213">
        <v>0.24</v>
      </c>
      <c r="G36" s="1214"/>
      <c r="H36" s="196">
        <f>F36/10*D36*E36</f>
        <v>27.071999999999999</v>
      </c>
      <c r="I36" s="212">
        <v>52</v>
      </c>
      <c r="J36" s="213" t="s">
        <v>261</v>
      </c>
    </row>
    <row r="37" spans="1:10" x14ac:dyDescent="0.3">
      <c r="A37" s="214"/>
      <c r="B37" s="1248" t="s">
        <v>262</v>
      </c>
      <c r="C37" s="1249"/>
      <c r="D37" s="215"/>
      <c r="E37" s="216"/>
      <c r="F37" s="1250"/>
      <c r="G37" s="1250"/>
      <c r="H37" s="217">
        <f>SUM(H27:H36)</f>
        <v>558.88400000000001</v>
      </c>
      <c r="I37" s="218"/>
      <c r="J37" s="219"/>
    </row>
    <row r="38" spans="1:10" ht="26.4" customHeight="1" x14ac:dyDescent="0.3">
      <c r="A38" s="1251" t="s">
        <v>263</v>
      </c>
      <c r="B38" s="1252"/>
      <c r="C38" s="1253"/>
      <c r="D38" s="1254"/>
      <c r="E38" s="1253"/>
      <c r="F38" s="1254"/>
      <c r="G38" s="1252"/>
      <c r="H38" s="1252"/>
      <c r="I38" s="1252"/>
      <c r="J38" s="1253"/>
    </row>
    <row r="39" spans="1:10" x14ac:dyDescent="0.3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3">
      <c r="A40" s="1255" t="s">
        <v>264</v>
      </c>
      <c r="B40" s="1256"/>
      <c r="C40" s="1256"/>
      <c r="D40" s="1256"/>
      <c r="E40" s="1256"/>
      <c r="F40" s="1256"/>
      <c r="G40" s="1256"/>
      <c r="H40" s="1256"/>
      <c r="I40" s="1256"/>
      <c r="J40" s="1256"/>
    </row>
    <row r="41" spans="1:10" ht="72" x14ac:dyDescent="0.3">
      <c r="A41" s="1230" t="s">
        <v>186</v>
      </c>
      <c r="B41" s="1231"/>
      <c r="C41" s="224" t="s">
        <v>265</v>
      </c>
      <c r="D41" s="225" t="s">
        <v>266</v>
      </c>
      <c r="E41" s="226" t="s">
        <v>267</v>
      </c>
      <c r="F41" s="227" t="s">
        <v>268</v>
      </c>
      <c r="G41" s="227" t="s">
        <v>269</v>
      </c>
      <c r="H41" s="226" t="s">
        <v>270</v>
      </c>
      <c r="I41" s="1232" t="s">
        <v>271</v>
      </c>
      <c r="J41" s="1233"/>
    </row>
    <row r="42" spans="1:10" x14ac:dyDescent="0.3">
      <c r="A42" s="1232">
        <v>1</v>
      </c>
      <c r="B42" s="1231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243">
        <v>7</v>
      </c>
      <c r="J42" s="1244"/>
    </row>
    <row r="43" spans="1:10" x14ac:dyDescent="0.3">
      <c r="A43" s="1245" t="s">
        <v>193</v>
      </c>
      <c r="B43" s="766"/>
      <c r="C43" s="230">
        <f>H37-H31</f>
        <v>546.28399999999999</v>
      </c>
      <c r="D43" s="231">
        <f>J23</f>
        <v>1993</v>
      </c>
      <c r="E43" s="196">
        <f>ROUND(C43/D43,2)</f>
        <v>0.27</v>
      </c>
      <c r="F43" s="196">
        <f>оклади!K7</f>
        <v>4173</v>
      </c>
      <c r="G43" s="203">
        <f>E43*F43</f>
        <v>1126.71</v>
      </c>
      <c r="H43" s="196">
        <f>G43*0.13</f>
        <v>146.47230000000002</v>
      </c>
      <c r="I43" s="1246">
        <f>G43*1.09+H43</f>
        <v>1374.5862000000002</v>
      </c>
      <c r="J43" s="1247"/>
    </row>
    <row r="44" spans="1:10" ht="23.4" customHeight="1" x14ac:dyDescent="0.3">
      <c r="A44" s="1245" t="s">
        <v>195</v>
      </c>
      <c r="B44" s="1245"/>
      <c r="C44" s="230">
        <f>H31</f>
        <v>12.6</v>
      </c>
      <c r="D44" s="231">
        <f>J23</f>
        <v>1993</v>
      </c>
      <c r="E44" s="232">
        <f>C44/D44</f>
        <v>6.3221274460612143E-3</v>
      </c>
      <c r="F44" s="196">
        <f>оклади!K8</f>
        <v>5825</v>
      </c>
      <c r="G44" s="203">
        <f>E44*F44</f>
        <v>36.826392373306575</v>
      </c>
      <c r="H44" s="196">
        <f>G44*0.15</f>
        <v>5.5239588559959865</v>
      </c>
      <c r="I44" s="1262">
        <f>G44*1.09+H44</f>
        <v>45.664726542900155</v>
      </c>
      <c r="J44" s="1263"/>
    </row>
    <row r="45" spans="1:10" x14ac:dyDescent="0.3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3">
      <c r="A46" s="1255" t="s">
        <v>272</v>
      </c>
      <c r="B46" s="1255"/>
      <c r="C46" s="1255"/>
      <c r="D46" s="1255"/>
      <c r="E46" s="1255"/>
      <c r="F46" s="1255"/>
      <c r="G46" s="1255"/>
      <c r="H46" s="1255"/>
      <c r="I46" s="1255"/>
      <c r="J46" s="1255"/>
    </row>
    <row r="47" spans="1:10" ht="72" x14ac:dyDescent="0.3">
      <c r="A47" s="1257" t="s">
        <v>273</v>
      </c>
      <c r="B47" s="1258"/>
      <c r="C47" s="226" t="s">
        <v>274</v>
      </c>
      <c r="D47" s="226" t="s">
        <v>275</v>
      </c>
      <c r="E47" s="1257" t="s">
        <v>276</v>
      </c>
      <c r="F47" s="1259"/>
      <c r="G47" s="1257" t="s">
        <v>277</v>
      </c>
      <c r="H47" s="744"/>
      <c r="I47" s="1257" t="s">
        <v>278</v>
      </c>
      <c r="J47" s="744"/>
    </row>
    <row r="48" spans="1:10" x14ac:dyDescent="0.3">
      <c r="A48" s="1257">
        <v>1</v>
      </c>
      <c r="B48" s="1258"/>
      <c r="C48" s="226">
        <v>2</v>
      </c>
      <c r="D48" s="226">
        <v>3</v>
      </c>
      <c r="E48" s="1257">
        <v>4</v>
      </c>
      <c r="F48" s="1259"/>
      <c r="G48" s="1257">
        <v>5</v>
      </c>
      <c r="H48" s="744"/>
      <c r="I48" s="1257">
        <v>6</v>
      </c>
      <c r="J48" s="744"/>
    </row>
    <row r="49" spans="1:10" ht="45" customHeight="1" x14ac:dyDescent="0.3">
      <c r="A49" s="1257" t="s">
        <v>279</v>
      </c>
      <c r="B49" s="1257"/>
      <c r="C49" s="399">
        <v>1782768</v>
      </c>
      <c r="D49" s="238">
        <v>4193729</v>
      </c>
      <c r="E49" s="1260">
        <f>C49/D49*100</f>
        <v>42.51032911282536</v>
      </c>
      <c r="F49" s="847"/>
      <c r="G49" s="1261">
        <f>I43+I44</f>
        <v>1420.2509265429003</v>
      </c>
      <c r="H49" s="744"/>
      <c r="I49" s="1261">
        <f>E49*G49/100</f>
        <v>603.75334310133849</v>
      </c>
      <c r="J49" s="744"/>
    </row>
    <row r="50" spans="1:10" ht="33" customHeight="1" x14ac:dyDescent="0.3">
      <c r="A50" s="1257" t="s">
        <v>280</v>
      </c>
      <c r="B50" s="1257"/>
      <c r="C50" s="399">
        <v>2914645</v>
      </c>
      <c r="D50" s="238">
        <v>14598843</v>
      </c>
      <c r="E50" s="1260">
        <f>C50/D50*100</f>
        <v>19.964904068082657</v>
      </c>
      <c r="F50" s="847"/>
      <c r="G50" s="1261">
        <f>I11+I12+I14+I15+I49</f>
        <v>2828.9505008798133</v>
      </c>
      <c r="H50" s="744"/>
      <c r="I50" s="1261">
        <f>E50*G50/100</f>
        <v>564.79725363419846</v>
      </c>
      <c r="J50" s="744"/>
    </row>
    <row r="51" spans="1:10" ht="37.200000000000003" customHeight="1" x14ac:dyDescent="0.3">
      <c r="A51" s="1265" t="s">
        <v>281</v>
      </c>
      <c r="B51" s="1265"/>
      <c r="C51" s="400"/>
      <c r="D51" s="401"/>
      <c r="E51" s="1266"/>
      <c r="F51" s="847"/>
      <c r="G51" s="1267"/>
      <c r="H51" s="744"/>
      <c r="I51" s="1267">
        <f>SUM(I49:I50)</f>
        <v>1168.5505967355371</v>
      </c>
      <c r="J51" s="744"/>
    </row>
    <row r="52" spans="1:10" x14ac:dyDescent="0.3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" customHeight="1" x14ac:dyDescent="0.3">
      <c r="A53" s="1264" t="s">
        <v>282</v>
      </c>
      <c r="B53" s="1264"/>
      <c r="C53" s="1264"/>
      <c r="D53" s="1264"/>
      <c r="E53" s="1264"/>
      <c r="F53" s="1264"/>
      <c r="G53" s="1264"/>
      <c r="H53" s="1264"/>
      <c r="I53" s="1264"/>
      <c r="J53" s="1264"/>
    </row>
  </sheetData>
  <mergeCells count="97"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  <mergeCell ref="A44:B44"/>
    <mergeCell ref="I44:J44"/>
    <mergeCell ref="A46:J46"/>
    <mergeCell ref="A47:B47"/>
    <mergeCell ref="E47:F47"/>
    <mergeCell ref="G47:H47"/>
    <mergeCell ref="I47:J47"/>
    <mergeCell ref="A48:B48"/>
    <mergeCell ref="E48:F48"/>
    <mergeCell ref="G48:H48"/>
    <mergeCell ref="I48:J48"/>
    <mergeCell ref="A49:B49"/>
    <mergeCell ref="E49:F49"/>
    <mergeCell ref="G49:H49"/>
    <mergeCell ref="I49:J49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7:E17"/>
    <mergeCell ref="G17:J17"/>
    <mergeCell ref="B18:E18"/>
    <mergeCell ref="G18:J18"/>
    <mergeCell ref="A21:J21"/>
    <mergeCell ref="B15:E15"/>
    <mergeCell ref="G15:H15"/>
    <mergeCell ref="I15:J15"/>
    <mergeCell ref="B16:E16"/>
    <mergeCell ref="G16:H16"/>
    <mergeCell ref="I16:J16"/>
    <mergeCell ref="B11:E11"/>
    <mergeCell ref="G11:H11"/>
    <mergeCell ref="I11:J11"/>
    <mergeCell ref="B12:E12"/>
    <mergeCell ref="G12:H12"/>
    <mergeCell ref="I12:J12"/>
    <mergeCell ref="B13:E13"/>
    <mergeCell ref="G13:H13"/>
    <mergeCell ref="I13:J13"/>
    <mergeCell ref="B14:E14"/>
    <mergeCell ref="G14:H14"/>
    <mergeCell ref="I14:J14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topLeftCell="A25" zoomScaleNormal="100" workbookViewId="0">
      <selection activeCell="A7" sqref="A7:L7"/>
    </sheetView>
  </sheetViews>
  <sheetFormatPr defaultRowHeight="14.4" x14ac:dyDescent="0.3"/>
  <cols>
    <col min="9" max="9" width="6.6640625" customWidth="1"/>
  </cols>
  <sheetData>
    <row r="1" spans="1:12" x14ac:dyDescent="0.3">
      <c r="A1" s="1175" t="str">
        <f>CONCATENATE(кошторис!B4)</f>
        <v>м. КанівМаршала Рибалки1</v>
      </c>
      <c r="B1" s="1176"/>
      <c r="C1" s="1176"/>
      <c r="D1" s="933"/>
      <c r="E1" s="933"/>
      <c r="F1" s="176"/>
      <c r="G1" s="1177" t="s">
        <v>210</v>
      </c>
      <c r="H1" s="1177"/>
      <c r="I1" s="1177"/>
      <c r="J1" s="1177"/>
    </row>
    <row r="2" spans="1:12" x14ac:dyDescent="0.3">
      <c r="A2" s="176"/>
      <c r="B2" s="176"/>
      <c r="C2" s="176"/>
      <c r="D2" s="176"/>
      <c r="E2" s="176"/>
      <c r="F2" s="176"/>
      <c r="G2" s="1177" t="s">
        <v>104</v>
      </c>
      <c r="H2" s="1177"/>
      <c r="I2" s="1177"/>
      <c r="J2" s="1177"/>
    </row>
    <row r="3" spans="1:12" x14ac:dyDescent="0.3">
      <c r="A3" s="176"/>
      <c r="B3" s="176"/>
      <c r="C3" s="176"/>
      <c r="D3" s="176"/>
      <c r="E3" s="176"/>
      <c r="F3" s="176"/>
      <c r="G3" s="1181" t="s">
        <v>633</v>
      </c>
      <c r="H3" s="1181"/>
      <c r="I3" s="1181"/>
      <c r="J3" s="1181"/>
    </row>
    <row r="4" spans="1:12" x14ac:dyDescent="0.3">
      <c r="A4" s="176"/>
      <c r="B4" s="176"/>
      <c r="C4" s="176"/>
      <c r="D4" s="176"/>
      <c r="E4" s="176"/>
      <c r="F4" s="176"/>
      <c r="G4" s="247"/>
      <c r="H4" s="248"/>
      <c r="I4" s="1178" t="s">
        <v>292</v>
      </c>
      <c r="J4" s="1178"/>
    </row>
    <row r="5" spans="1:12" x14ac:dyDescent="0.3">
      <c r="A5" s="176"/>
      <c r="B5" s="176"/>
      <c r="C5" s="176"/>
      <c r="D5" s="176"/>
      <c r="E5" s="176"/>
      <c r="F5" s="176"/>
      <c r="G5" s="1177"/>
      <c r="H5" s="1177"/>
      <c r="I5" s="1177"/>
      <c r="J5" s="1177"/>
    </row>
    <row r="6" spans="1:12" x14ac:dyDescent="0.3">
      <c r="A6" s="1179" t="s">
        <v>296</v>
      </c>
      <c r="B6" s="1179"/>
      <c r="C6" s="1179"/>
      <c r="D6" s="1179"/>
      <c r="E6" s="1179"/>
      <c r="F6" s="1179"/>
      <c r="G6" s="1179"/>
      <c r="H6" s="1179"/>
      <c r="I6" s="1179"/>
      <c r="J6" s="1179"/>
    </row>
    <row r="7" spans="1:12" ht="28.2" customHeight="1" x14ac:dyDescent="0.3">
      <c r="A7" s="1273" t="s">
        <v>949</v>
      </c>
      <c r="B7" s="1273"/>
      <c r="C7" s="1273"/>
      <c r="D7" s="1273"/>
      <c r="E7" s="1273"/>
      <c r="F7" s="1273"/>
      <c r="G7" s="1273"/>
      <c r="H7" s="1273"/>
      <c r="I7" s="1273"/>
      <c r="J7" s="1273"/>
      <c r="K7" s="1273"/>
      <c r="L7" s="1273"/>
    </row>
    <row r="8" spans="1:12" ht="19.8" customHeight="1" x14ac:dyDescent="0.3">
      <c r="A8" s="1271" t="s">
        <v>495</v>
      </c>
      <c r="B8" s="1272"/>
      <c r="C8" s="1272"/>
      <c r="D8" s="1272"/>
      <c r="E8" s="1272"/>
      <c r="F8" s="1272"/>
      <c r="G8" s="1272"/>
      <c r="H8" s="1272"/>
      <c r="I8" s="1272"/>
      <c r="J8" s="1272"/>
      <c r="K8" s="1272"/>
      <c r="L8" s="1272"/>
    </row>
    <row r="9" spans="1:12" ht="39.6" x14ac:dyDescent="0.3">
      <c r="A9" s="179" t="s">
        <v>212</v>
      </c>
      <c r="B9" s="1172" t="s">
        <v>213</v>
      </c>
      <c r="C9" s="1173"/>
      <c r="D9" s="1173"/>
      <c r="E9" s="1173"/>
      <c r="F9" s="1173"/>
      <c r="G9" s="1173"/>
      <c r="H9" s="1173"/>
      <c r="I9" s="1173"/>
      <c r="J9" s="179" t="s">
        <v>214</v>
      </c>
      <c r="K9" s="179" t="s">
        <v>215</v>
      </c>
      <c r="L9" s="179" t="s">
        <v>488</v>
      </c>
    </row>
    <row r="10" spans="1:12" x14ac:dyDescent="0.3">
      <c r="A10" s="179">
        <v>1</v>
      </c>
      <c r="B10" s="1182" t="s">
        <v>489</v>
      </c>
      <c r="C10" s="1159"/>
      <c r="D10" s="1159"/>
      <c r="E10" s="1159"/>
      <c r="F10" s="1159"/>
      <c r="G10" s="1159"/>
      <c r="H10" s="1159"/>
      <c r="I10" s="1159"/>
      <c r="J10" s="256" t="s">
        <v>490</v>
      </c>
      <c r="K10" s="421">
        <f>L10*12</f>
        <v>12564</v>
      </c>
      <c r="L10" s="421">
        <f>Характеристика!L86</f>
        <v>1047</v>
      </c>
    </row>
    <row r="11" spans="1:12" x14ac:dyDescent="0.3">
      <c r="A11" s="179">
        <v>2</v>
      </c>
      <c r="B11" s="1182" t="s">
        <v>498</v>
      </c>
      <c r="C11" s="1159"/>
      <c r="D11" s="1159"/>
      <c r="E11" s="1159"/>
      <c r="F11" s="1159"/>
      <c r="G11" s="1159"/>
      <c r="H11" s="1159"/>
      <c r="I11" s="1159"/>
      <c r="J11" s="256" t="s">
        <v>177</v>
      </c>
      <c r="K11" s="1268">
        <f>розрахунок!D49</f>
        <v>1.4</v>
      </c>
      <c r="L11" s="1269"/>
    </row>
    <row r="12" spans="1:12" x14ac:dyDescent="0.3">
      <c r="A12" s="179">
        <v>3</v>
      </c>
      <c r="B12" s="1270" t="s">
        <v>499</v>
      </c>
      <c r="C12" s="849"/>
      <c r="D12" s="849"/>
      <c r="E12" s="849"/>
      <c r="F12" s="849"/>
      <c r="G12" s="849"/>
      <c r="H12" s="849"/>
      <c r="I12" s="850"/>
      <c r="J12" s="256" t="s">
        <v>177</v>
      </c>
      <c r="K12" s="421">
        <f>L12*12</f>
        <v>3511.7467659594668</v>
      </c>
      <c r="L12" s="422">
        <f>L23</f>
        <v>292.64556382995556</v>
      </c>
    </row>
    <row r="13" spans="1:12" x14ac:dyDescent="0.3">
      <c r="A13" s="179">
        <v>4</v>
      </c>
      <c r="B13" s="1274" t="s">
        <v>496</v>
      </c>
      <c r="C13" s="849"/>
      <c r="D13" s="849"/>
      <c r="E13" s="849"/>
      <c r="F13" s="849"/>
      <c r="G13" s="849"/>
      <c r="H13" s="849"/>
      <c r="I13" s="850"/>
      <c r="J13" s="179" t="s">
        <v>177</v>
      </c>
      <c r="K13" s="423">
        <f>L13*12</f>
        <v>21101.346765959468</v>
      </c>
      <c r="L13" s="423">
        <f>L12+J22</f>
        <v>1758.4455638299555</v>
      </c>
    </row>
    <row r="14" spans="1:12" x14ac:dyDescent="0.3">
      <c r="A14" s="179">
        <v>5</v>
      </c>
      <c r="B14" s="1187" t="s">
        <v>119</v>
      </c>
      <c r="C14" s="1159"/>
      <c r="D14" s="1159"/>
      <c r="E14" s="1159"/>
      <c r="F14" s="1159"/>
      <c r="G14" s="1159"/>
      <c r="H14" s="1159"/>
      <c r="I14" s="1159"/>
      <c r="J14" s="256" t="s">
        <v>219</v>
      </c>
      <c r="K14" s="1189">
        <f>Характеристика!N18</f>
        <v>2798.8</v>
      </c>
      <c r="L14" s="1269"/>
    </row>
    <row r="15" spans="1:12" x14ac:dyDescent="0.3">
      <c r="A15" s="179">
        <v>6</v>
      </c>
      <c r="B15" s="1191" t="s">
        <v>497</v>
      </c>
      <c r="C15" s="1173"/>
      <c r="D15" s="1173"/>
      <c r="E15" s="1173"/>
      <c r="F15" s="1173"/>
      <c r="G15" s="1173"/>
      <c r="H15" s="1173"/>
      <c r="I15" s="1173"/>
      <c r="J15" s="179" t="s">
        <v>177</v>
      </c>
      <c r="K15" s="1201">
        <f>L13/K14</f>
        <v>0.6282855380269956</v>
      </c>
      <c r="L15" s="1275"/>
    </row>
    <row r="16" spans="1:12" x14ac:dyDescent="0.3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3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3">
      <c r="A18" s="1276" t="s">
        <v>491</v>
      </c>
      <c r="B18" s="1277"/>
      <c r="C18" s="1277"/>
      <c r="D18" s="1278"/>
      <c r="E18" s="1278"/>
      <c r="F18" s="1278"/>
      <c r="G18" s="1278"/>
      <c r="H18" s="1278"/>
      <c r="I18" s="1278"/>
      <c r="J18" s="1278"/>
      <c r="K18" s="1278"/>
      <c r="L18" s="1278"/>
    </row>
    <row r="19" spans="1:12" ht="168" x14ac:dyDescent="0.3">
      <c r="A19" s="1257" t="s">
        <v>273</v>
      </c>
      <c r="B19" s="1279"/>
      <c r="C19" s="1279"/>
      <c r="D19" s="1257" t="s">
        <v>274</v>
      </c>
      <c r="E19" s="744"/>
      <c r="F19" s="1257" t="s">
        <v>492</v>
      </c>
      <c r="G19" s="744"/>
      <c r="H19" s="1257" t="s">
        <v>276</v>
      </c>
      <c r="I19" s="1259"/>
      <c r="J19" s="1257" t="s">
        <v>493</v>
      </c>
      <c r="K19" s="744"/>
      <c r="L19" s="226" t="s">
        <v>494</v>
      </c>
    </row>
    <row r="20" spans="1:12" x14ac:dyDescent="0.3">
      <c r="A20" s="1257">
        <v>1</v>
      </c>
      <c r="B20" s="744"/>
      <c r="C20" s="744"/>
      <c r="D20" s="1257">
        <v>2</v>
      </c>
      <c r="E20" s="744"/>
      <c r="F20" s="1257">
        <v>3</v>
      </c>
      <c r="G20" s="744"/>
      <c r="H20" s="1257">
        <v>4</v>
      </c>
      <c r="I20" s="1259"/>
      <c r="J20" s="1257">
        <v>5</v>
      </c>
      <c r="K20" s="744"/>
      <c r="L20" s="226">
        <v>6</v>
      </c>
    </row>
    <row r="21" spans="1:12" x14ac:dyDescent="0.3">
      <c r="A21" s="1280" t="s">
        <v>279</v>
      </c>
      <c r="B21" s="744"/>
      <c r="C21" s="744"/>
      <c r="D21" s="1281">
        <f>прибирання!C49</f>
        <v>1782768</v>
      </c>
      <c r="E21" s="744"/>
      <c r="F21" s="1261">
        <f>прибирання!D49</f>
        <v>4193729</v>
      </c>
      <c r="G21" s="744"/>
      <c r="H21" s="1260">
        <f>D21/F21*100</f>
        <v>42.51032911282536</v>
      </c>
      <c r="I21" s="847"/>
      <c r="J21" s="1261">
        <v>0</v>
      </c>
      <c r="K21" s="744"/>
      <c r="L21" s="238">
        <f>H21*J21/100</f>
        <v>0</v>
      </c>
    </row>
    <row r="22" spans="1:12" x14ac:dyDescent="0.3">
      <c r="A22" s="1280" t="s">
        <v>280</v>
      </c>
      <c r="B22" s="744"/>
      <c r="C22" s="744"/>
      <c r="D22" s="1281">
        <f>прибирання!C50</f>
        <v>2914645</v>
      </c>
      <c r="E22" s="744"/>
      <c r="F22" s="1261">
        <f>прибирання!D50</f>
        <v>14598843</v>
      </c>
      <c r="G22" s="744"/>
      <c r="H22" s="1260">
        <f>D22/F22*100</f>
        <v>19.964904068082657</v>
      </c>
      <c r="I22" s="847"/>
      <c r="J22" s="1261">
        <f>L10*K11</f>
        <v>1465.8</v>
      </c>
      <c r="K22" s="744"/>
      <c r="L22" s="238">
        <f>H22*J22/100</f>
        <v>292.64556382995556</v>
      </c>
    </row>
    <row r="23" spans="1:12" x14ac:dyDescent="0.3">
      <c r="A23" s="1282" t="s">
        <v>281</v>
      </c>
      <c r="B23" s="744"/>
      <c r="C23" s="744"/>
      <c r="D23" s="1283"/>
      <c r="E23" s="744"/>
      <c r="F23" s="1267"/>
      <c r="G23" s="744"/>
      <c r="H23" s="1266"/>
      <c r="I23" s="847"/>
      <c r="J23" s="1267"/>
      <c r="K23" s="744"/>
      <c r="L23" s="401">
        <f>SUM(L21:L22)</f>
        <v>292.64556382995556</v>
      </c>
    </row>
  </sheetData>
  <mergeCells count="45">
    <mergeCell ref="A22:C22"/>
    <mergeCell ref="D22:E22"/>
    <mergeCell ref="F22:G22"/>
    <mergeCell ref="H22:I22"/>
    <mergeCell ref="J22:K22"/>
    <mergeCell ref="A23:C23"/>
    <mergeCell ref="D23:E23"/>
    <mergeCell ref="F23:G23"/>
    <mergeCell ref="H23:I23"/>
    <mergeCell ref="J23:K23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18:L18"/>
    <mergeCell ref="A19:C19"/>
    <mergeCell ref="D19:E19"/>
    <mergeCell ref="F19:G19"/>
    <mergeCell ref="H19:I19"/>
    <mergeCell ref="J19:K19"/>
    <mergeCell ref="B13:I13"/>
    <mergeCell ref="B14:I14"/>
    <mergeCell ref="K14:L14"/>
    <mergeCell ref="B15:I15"/>
    <mergeCell ref="K15:L15"/>
    <mergeCell ref="B11:I11"/>
    <mergeCell ref="K11:L11"/>
    <mergeCell ref="B12:I12"/>
    <mergeCell ref="A6:J6"/>
    <mergeCell ref="A8:L8"/>
    <mergeCell ref="B9:I9"/>
    <mergeCell ref="B10:I10"/>
    <mergeCell ref="A7:L7"/>
    <mergeCell ref="G5:J5"/>
    <mergeCell ref="A1:E1"/>
    <mergeCell ref="G1:J1"/>
    <mergeCell ref="G2:J2"/>
    <mergeCell ref="G3:J3"/>
    <mergeCell ref="I4:J4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2019-08-05T06:42:37Z</dcterms:modified>
</cp:coreProperties>
</file>