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64D6FED1-B977-434A-8241-0EE8786A9703}" xr6:coauthVersionLast="45" xr6:coauthVersionMax="45" xr10:uidLastSave="{00000000-0000-0000-0000-000000000000}"/>
  <bookViews>
    <workbookView xWindow="-120" yWindow="-120" windowWidth="19440" windowHeight="104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14" l="1"/>
  <c r="I57" i="14" s="1"/>
  <c r="I43" i="5"/>
  <c r="I44" i="5"/>
  <c r="J118" i="9"/>
  <c r="J117" i="9"/>
  <c r="I36" i="10"/>
  <c r="E61" i="9" l="1"/>
  <c r="E30" i="9"/>
  <c r="D51" i="14" l="1"/>
  <c r="D33" i="5" l="1"/>
  <c r="D31" i="5"/>
  <c r="C110" i="7"/>
  <c r="D10" i="3" l="1"/>
  <c r="N83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1" i="9"/>
  <c r="E139" i="9"/>
  <c r="G139" i="9" s="1"/>
  <c r="H139" i="9" s="1"/>
  <c r="E137" i="9"/>
  <c r="G137" i="9" s="1"/>
  <c r="H137" i="9" s="1"/>
  <c r="E136" i="9"/>
  <c r="G136" i="9" s="1"/>
  <c r="H136" i="9" s="1"/>
  <c r="E135" i="9"/>
  <c r="G135" i="9" s="1"/>
  <c r="H135" i="9" s="1"/>
  <c r="D134" i="9"/>
  <c r="G134" i="9" s="1"/>
  <c r="H134" i="9" s="1"/>
  <c r="E133" i="9"/>
  <c r="G133" i="9" s="1"/>
  <c r="H133" i="9" s="1"/>
  <c r="E132" i="9"/>
  <c r="G132" i="9" s="1"/>
  <c r="H132" i="9" s="1"/>
  <c r="H138" i="9"/>
  <c r="D138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10" i="1" l="1"/>
  <c r="D23" i="17"/>
  <c r="C23" i="17"/>
  <c r="E23" i="17" s="1"/>
  <c r="C22" i="17"/>
  <c r="D22" i="17"/>
  <c r="H11" i="17"/>
  <c r="G14" i="17"/>
  <c r="G13" i="17"/>
  <c r="G10" i="17"/>
  <c r="I11" i="16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E22" i="17"/>
  <c r="H22" i="17" s="1"/>
  <c r="F23" i="17" s="1"/>
  <c r="H23" i="17" s="1"/>
  <c r="G11" i="17"/>
  <c r="I10" i="16"/>
  <c r="I12" i="16" s="1"/>
  <c r="I13" i="16" s="1"/>
  <c r="C9" i="1" s="1"/>
  <c r="J12" i="16"/>
  <c r="J13" i="16" s="1"/>
  <c r="F21" i="15"/>
  <c r="E21" i="15"/>
  <c r="I22" i="14"/>
  <c r="G16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4" i="17"/>
  <c r="H12" i="17" s="1"/>
  <c r="G12" i="17" s="1"/>
  <c r="G15" i="17" s="1"/>
  <c r="C10" i="1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H15" i="17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2" i="12" l="1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F118" i="9" s="1"/>
  <c r="C11" i="7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 s="1"/>
  <c r="A1" i="12"/>
  <c r="A1" i="11"/>
  <c r="A1" i="13"/>
  <c r="A1" i="10"/>
  <c r="G145" i="7"/>
  <c r="D44" i="5"/>
  <c r="E44" i="5" s="1"/>
  <c r="C12" i="7" s="1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8" i="4"/>
  <c r="K8" i="4" s="1"/>
  <c r="F44" i="5" s="1"/>
  <c r="G44" i="5" s="1"/>
  <c r="F7" i="4"/>
  <c r="K7" i="4" s="1"/>
  <c r="F9" i="4"/>
  <c r="K9" i="4" s="1"/>
  <c r="G117" i="9" s="1"/>
  <c r="H117" i="9" s="1"/>
  <c r="I117" i="9" s="1"/>
  <c r="F10" i="4"/>
  <c r="K10" i="4" s="1"/>
  <c r="F24" i="10"/>
  <c r="F14" i="15"/>
  <c r="F15" i="15" s="1"/>
  <c r="D19" i="1" s="1"/>
  <c r="J15" i="9"/>
  <c r="H15" i="9" s="1"/>
  <c r="G24" i="14"/>
  <c r="G16" i="17"/>
  <c r="G17" i="17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B10" i="7"/>
  <c r="D10" i="7" s="1"/>
  <c r="E10" i="7" s="1"/>
  <c r="I10" i="7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1" i="7"/>
  <c r="E11" i="7"/>
  <c r="I11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44" i="5" l="1"/>
  <c r="G118" i="9"/>
  <c r="H118" i="9" s="1"/>
  <c r="I118" i="9" s="1"/>
  <c r="I123" i="9" s="1"/>
  <c r="K123" i="9" s="1"/>
  <c r="F57" i="14"/>
  <c r="G57" i="14" s="1"/>
  <c r="F68" i="13"/>
  <c r="G68" i="13" s="1"/>
  <c r="I68" i="13" s="1"/>
  <c r="F43" i="5"/>
  <c r="J13" i="9"/>
  <c r="H13" i="9" s="1"/>
  <c r="H10" i="7"/>
  <c r="J10" i="9"/>
  <c r="H10" i="9" s="1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J11" i="9"/>
  <c r="H11" i="9" s="1"/>
  <c r="H37" i="10"/>
  <c r="I35" i="10"/>
  <c r="I37" i="10" s="1"/>
  <c r="G15" i="14"/>
  <c r="G14" i="14" s="1"/>
  <c r="I14" i="14"/>
  <c r="G14" i="13"/>
  <c r="E7" i="7"/>
  <c r="E14" i="7" s="1"/>
  <c r="D14" i="7"/>
  <c r="H7" i="7"/>
  <c r="G7" i="7"/>
  <c r="I174" i="7"/>
  <c r="F14" i="7" s="1"/>
  <c r="G62" i="14" l="1"/>
  <c r="I62" i="14" s="1"/>
  <c r="I11" i="14"/>
  <c r="I12" i="13"/>
  <c r="G12" i="13" s="1"/>
  <c r="G11" i="13"/>
  <c r="G49" i="5"/>
  <c r="I49" i="5" s="1"/>
  <c r="G11" i="5"/>
  <c r="I12" i="5"/>
  <c r="G12" i="5" s="1"/>
  <c r="I124" i="9"/>
  <c r="K124" i="9" s="1"/>
  <c r="K125" i="9" s="1"/>
  <c r="J12" i="9" s="1"/>
  <c r="J16" i="9" s="1"/>
  <c r="K18" i="9" s="1"/>
  <c r="D8" i="1" s="1"/>
  <c r="H11" i="10"/>
  <c r="F42" i="10"/>
  <c r="H42" i="10" s="1"/>
  <c r="I7" i="7"/>
  <c r="I14" i="5" s="1"/>
  <c r="H14" i="7"/>
  <c r="G11" i="14" l="1"/>
  <c r="I12" i="14"/>
  <c r="G74" i="13"/>
  <c r="I74" i="13" s="1"/>
  <c r="I75" i="13" s="1"/>
  <c r="I13" i="13" s="1"/>
  <c r="H12" i="9"/>
  <c r="H16" i="9" s="1"/>
  <c r="C8" i="1" s="1"/>
  <c r="F43" i="10"/>
  <c r="H43" i="10" s="1"/>
  <c r="H44" i="10" s="1"/>
  <c r="H13" i="10" s="1"/>
  <c r="F13" i="10" s="1"/>
  <c r="F11" i="10"/>
  <c r="G14" i="7"/>
  <c r="I14" i="7"/>
  <c r="G50" i="5"/>
  <c r="G12" i="14" l="1"/>
  <c r="G63" i="14"/>
  <c r="I63" i="14" s="1"/>
  <c r="I64" i="14" s="1"/>
  <c r="I13" i="14" s="1"/>
  <c r="G13" i="14" s="1"/>
  <c r="G13" i="13"/>
  <c r="G16" i="13" s="1"/>
  <c r="C17" i="1" s="1"/>
  <c r="I16" i="13"/>
  <c r="G18" i="13" s="1"/>
  <c r="D17" i="1" s="1"/>
  <c r="H23" i="10"/>
  <c r="F25" i="10" s="1"/>
  <c r="D11" i="1" s="1"/>
  <c r="F23" i="10"/>
  <c r="C11" i="1" s="1"/>
  <c r="G14" i="5"/>
  <c r="I50" i="5"/>
  <c r="I51" i="5" s="1"/>
  <c r="I13" i="5" s="1"/>
  <c r="G13" i="5" s="1"/>
  <c r="G18" i="14" l="1"/>
  <c r="G23" i="14" s="1"/>
  <c r="C18" i="1" s="1"/>
  <c r="I18" i="14"/>
  <c r="I23" i="14" s="1"/>
  <c r="G25" i="14" s="1"/>
  <c r="D18" i="1" s="1"/>
  <c r="I16" i="5"/>
  <c r="G18" i="5" s="1"/>
  <c r="D16" i="1" s="1"/>
  <c r="G16" i="5"/>
  <c r="C16" i="1" s="1"/>
  <c r="D22" i="1" l="1"/>
  <c r="D23" i="1" s="1"/>
  <c r="D24" i="1" s="1"/>
  <c r="C22" i="1"/>
  <c r="C23" i="1" s="1"/>
  <c r="C24" i="1" l="1"/>
</calcChain>
</file>

<file path=xl/sharedStrings.xml><?xml version="1.0" encoding="utf-8"?>
<sst xmlns="http://schemas.openxmlformats.org/spreadsheetml/2006/main" count="1744" uniqueCount="958">
  <si>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</si>
  <si>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</si>
  <si>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</si>
  <si>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</si>
  <si>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</si>
  <si>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</si>
  <si>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</si>
  <si>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</si>
  <si>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</si>
  <si>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</si>
  <si>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</si>
  <si>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</si>
  <si>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</si>
  <si>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</si>
  <si>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</si>
  <si>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</si>
  <si>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</si>
  <si>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</si>
  <si>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</si>
  <si>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</si>
  <si>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</si>
  <si>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</si>
  <si>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</si>
  <si>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</si>
  <si>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</si>
  <si>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</si>
  <si>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</si>
  <si>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</si>
  <si>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</si>
  <si>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</si>
  <si>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</si>
  <si>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</si>
  <si>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</si>
  <si>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</si>
  <si>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</si>
  <si>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</si>
  <si>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</si>
  <si>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</si>
  <si>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</si>
  <si>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</si>
  <si>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</si>
  <si>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</si>
  <si>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</si>
  <si>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</si>
  <si>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</si>
  <si>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</si>
  <si>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</si>
  <si>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</si>
  <si>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</si>
  <si>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</si>
  <si>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</si>
  <si>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</si>
  <si>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</si>
  <si>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</si>
  <si>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</si>
  <si>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</si>
  <si>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</si>
  <si>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</si>
  <si>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</si>
  <si>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</si>
  <si>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</si>
  <si>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</si>
  <si>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</si>
  <si>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</si>
  <si>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</si>
  <si>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</si>
  <si>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</si>
  <si>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</si>
  <si>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</si>
  <si>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</si>
  <si>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</si>
  <si>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</si>
  <si>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</si>
  <si>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</si>
  <si>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</si>
  <si>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</si>
  <si>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</si>
  <si>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</si>
  <si>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</si>
  <si>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</si>
  <si>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</si>
  <si>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</si>
  <si>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</si>
  <si>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</si>
  <si>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</si>
  <si>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</si>
  <si>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</si>
  <si>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</si>
  <si>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</si>
  <si>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</si>
  <si>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</si>
  <si>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</si>
  <si>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</si>
  <si>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</si>
  <si>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</si>
  <si>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</si>
  <si>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</si>
  <si>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</si>
  <si>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</si>
  <si>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</si>
  <si>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</si>
  <si>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</si>
  <si>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</si>
  <si>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</si>
  <si>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</si>
  <si>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</si>
  <si>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</si>
  <si>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</si>
  <si>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</si>
  <si>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</si>
  <si>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</si>
  <si>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</si>
  <si>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</si>
  <si>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</si>
  <si>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</si>
  <si>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</si>
  <si>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</si>
  <si>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</si>
  <si>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</si>
  <si>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</si>
  <si>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</si>
  <si>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</si>
  <si>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</si>
  <si>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</si>
  <si>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</si>
  <si>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</si>
  <si>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</si>
  <si>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</si>
  <si>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</si>
  <si>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</si>
  <si>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</si>
  <si>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</si>
  <si>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</si>
  <si>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</si>
  <si>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</si>
  <si>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</si>
  <si>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</si>
  <si>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</si>
  <si>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</si>
  <si>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</si>
  <si>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</si>
  <si>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</si>
  <si>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</si>
  <si>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</si>
  <si>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</si>
  <si>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</si>
  <si>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</si>
  <si>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</si>
  <si>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</si>
  <si>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</si>
  <si>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</si>
  <si>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</si>
  <si>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</si>
  <si>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</si>
  <si>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</si>
  <si>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</si>
  <si>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</si>
  <si>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</si>
  <si>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</si>
  <si>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</si>
  <si>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</si>
  <si>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</si>
  <si>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</si>
  <si>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</si>
  <si>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</si>
  <si>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</si>
  <si>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</si>
  <si>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</si>
  <si>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</si>
  <si>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</si>
  <si>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</si>
  <si>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</si>
  <si>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</si>
  <si>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</si>
  <si>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</si>
  <si>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</si>
  <si>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</si>
  <si>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</si>
  <si>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</si>
  <si>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</si>
  <si>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</si>
  <si>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</si>
  <si>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</si>
  <si>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</si>
  <si>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</si>
  <si>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</si>
  <si>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</si>
  <si>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</si>
  <si>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</si>
  <si>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</si>
  <si>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</si>
  <si>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</si>
  <si>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</si>
  <si>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</si>
  <si>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</si>
  <si>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</si>
  <si>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</si>
  <si>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</si>
  <si>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</si>
  <si>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</si>
  <si>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</si>
  <si>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</si>
  <si>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</si>
  <si>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</si>
  <si>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</si>
  <si>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</si>
  <si>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</si>
  <si>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</si>
  <si>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</si>
  <si>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</si>
  <si>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</si>
  <si>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</si>
  <si>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</si>
  <si>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</si>
  <si>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</si>
  <si>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</si>
  <si>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</si>
  <si>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</si>
  <si>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</si>
  <si>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</si>
  <si>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</si>
  <si>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</si>
  <si>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</si>
  <si>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</si>
  <si>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</si>
  <si>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</si>
  <si>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</si>
  <si>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</si>
  <si>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</si>
  <si>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</si>
  <si>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</si>
  <si>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</si>
  <si>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</si>
  <si>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</si>
  <si>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</si>
  <si>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</si>
  <si>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</si>
  <si>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</si>
  <si>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</si>
  <si>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</si>
  <si>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</si>
  <si>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</si>
  <si>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</si>
  <si>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</si>
  <si>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</si>
  <si>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</si>
  <si>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</si>
  <si>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</si>
  <si>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</si>
  <si>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</si>
  <si>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</si>
  <si>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</si>
  <si>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</si>
  <si>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</si>
  <si>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</si>
  <si>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</si>
  <si>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</si>
  <si>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</si>
  <si>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</si>
  <si>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</si>
  <si>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</si>
  <si>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</si>
  <si>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</si>
  <si>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</si>
  <si>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</si>
  <si>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</si>
  <si>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</si>
  <si>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</si>
  <si>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</si>
  <si>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</si>
  <si>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</si>
  <si>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</si>
  <si>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</si>
  <si>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</si>
  <si>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</si>
  <si>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</si>
  <si>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</si>
  <si>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</si>
  <si>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</si>
  <si>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</si>
  <si>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</si>
  <si>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</si>
  <si>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</si>
  <si>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</si>
  <si>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</si>
  <si>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</si>
  <si>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</si>
  <si>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</si>
  <si>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</si>
  <si>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</si>
  <si>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</si>
  <si>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</si>
  <si>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</si>
  <si>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</si>
  <si>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</si>
  <si>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</si>
  <si>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</si>
  <si>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</si>
  <si>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</si>
  <si>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</si>
  <si>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</si>
  <si>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</si>
  <si>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</si>
  <si>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</si>
  <si>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</si>
  <si>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</si>
  <si>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</si>
  <si>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</si>
  <si>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</si>
  <si>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</si>
  <si>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</si>
  <si>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</si>
  <si>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</si>
  <si>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</si>
  <si>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</si>
  <si>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</si>
  <si>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</si>
  <si>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</si>
  <si>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</si>
  <si>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</si>
  <si>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</si>
  <si>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</si>
  <si>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</si>
  <si>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</si>
  <si>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</si>
  <si>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</si>
  <si>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</si>
  <si>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</si>
  <si>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</si>
  <si>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</si>
  <si>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</si>
  <si>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</si>
  <si>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</si>
  <si>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</si>
  <si>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</si>
  <si>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</si>
  <si>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</si>
  <si>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</si>
  <si>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</si>
  <si>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</si>
  <si>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</si>
  <si>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</si>
  <si>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</si>
  <si>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</si>
  <si>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</si>
  <si>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</si>
  <si>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</si>
  <si>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</si>
  <si>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</si>
  <si>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</si>
  <si>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</si>
  <si>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</si>
  <si>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</si>
  <si>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</si>
  <si>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</si>
  <si>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</si>
  <si>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</si>
  <si>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</si>
  <si>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</si>
  <si>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</si>
  <si>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</si>
  <si>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</si>
  <si>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</si>
  <si>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</si>
  <si>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</si>
  <si>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</si>
  <si>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</si>
  <si>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</si>
  <si>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</si>
  <si>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</si>
  <si>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</si>
  <si>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</si>
  <si>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</si>
  <si>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</si>
  <si>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</si>
  <si>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</si>
  <si>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</si>
  <si>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</si>
  <si>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</si>
  <si>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</si>
  <si>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</si>
  <si>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</si>
  <si>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</si>
  <si>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</si>
  <si>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</si>
  <si>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</si>
  <si>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</si>
  <si>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</si>
  <si>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</si>
  <si>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</si>
  <si>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</si>
  <si>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</si>
  <si>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</si>
  <si>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</si>
  <si>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</si>
  <si>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</si>
  <si>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</si>
  <si>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</si>
  <si>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</si>
  <si>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</si>
  <si>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</si>
  <si>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</si>
  <si>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</si>
  <si>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</si>
  <si>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</si>
  <si>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</si>
  <si>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</si>
  <si>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</si>
  <si>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</si>
  <si>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</si>
  <si>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</si>
  <si>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</si>
  <si>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</si>
  <si>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</si>
  <si>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</si>
  <si>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</si>
  <si>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</si>
  <si>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</si>
  <si>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</si>
  <si>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</si>
  <si>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</si>
  <si>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</si>
  <si>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</si>
  <si>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</si>
  <si>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</si>
  <si>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</si>
  <si>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</si>
  <si>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</si>
  <si>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</si>
  <si>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</si>
  <si>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</si>
  <si>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</si>
  <si>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</si>
  <si>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</si>
  <si>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</si>
  <si>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</si>
  <si>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</si>
  <si>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</si>
  <si>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</si>
  <si>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</si>
  <si>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</si>
  <si>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</si>
  <si>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</si>
  <si>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</si>
  <si>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</si>
  <si>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</si>
  <si>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</si>
  <si>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</si>
  <si>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</si>
  <si>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</si>
  <si>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</si>
  <si>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</si>
  <si>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</si>
  <si>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</si>
  <si>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</si>
  <si>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</si>
  <si>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</si>
  <si>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</si>
  <si>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</si>
  <si>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</si>
  <si>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</si>
  <si>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</si>
  <si>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</si>
  <si>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</si>
  <si>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</si>
  <si>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</si>
  <si>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</si>
  <si>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</si>
  <si>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</si>
  <si>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</si>
  <si>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</si>
  <si>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</si>
  <si>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</si>
  <si>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</si>
  <si>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</si>
  <si>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</si>
  <si>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</si>
  <si>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</si>
  <si>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</si>
  <si>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</si>
  <si>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</si>
  <si>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</si>
  <si>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</si>
  <si>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</si>
  <si>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</si>
  <si>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</si>
  <si>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</si>
  <si>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</si>
  <si>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</si>
  <si>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</si>
  <si>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</si>
  <si>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</si>
  <si>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</si>
  <si>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</si>
  <si>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</si>
  <si>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</si>
  <si>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</si>
  <si>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</si>
  <si>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</si>
  <si>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</si>
  <si>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</si>
  <si>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</si>
  <si>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</si>
  <si>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</si>
  <si>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</si>
  <si>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</si>
  <si>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</si>
  <si>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</si>
  <si>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</si>
  <si>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</si>
  <si>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</si>
  <si>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</si>
  <si>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</si>
  <si>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</si>
  <si>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</si>
  <si>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</si>
  <si>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</si>
  <si>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</si>
  <si>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</si>
  <si>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</si>
  <si>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</si>
  <si>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</si>
  <si>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</si>
  <si>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</si>
  <si>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</si>
  <si>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</si>
  <si>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</si>
  <si>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</si>
  <si>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</si>
  <si>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</si>
  <si>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</si>
  <si>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</si>
  <si>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</si>
  <si>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</si>
  <si>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</si>
  <si>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</si>
  <si>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</si>
  <si>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</si>
  <si>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</si>
  <si>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</si>
  <si>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</si>
  <si>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</si>
  <si>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</si>
  <si>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</si>
  <si>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</si>
  <si>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</si>
  <si>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</si>
  <si>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</si>
  <si>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</si>
  <si>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</si>
  <si>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</si>
  <si>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</si>
  <si>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</si>
  <si>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</si>
  <si>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</si>
  <si>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</si>
  <si>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</si>
  <si>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</si>
  <si>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</si>
  <si>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</si>
  <si>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</si>
  <si>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</si>
  <si>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</si>
  <si>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</si>
  <si>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</si>
  <si>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</si>
  <si>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</si>
  <si>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</si>
  <si>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</si>
  <si>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</si>
  <si>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</si>
  <si>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</si>
  <si>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</si>
  <si>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</si>
  <si>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</si>
  <si>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</si>
  <si>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</si>
  <si>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</si>
  <si>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</si>
  <si>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</si>
  <si>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</si>
  <si>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</si>
  <si>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</si>
  <si>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</si>
  <si>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</si>
  <si>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</si>
  <si>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</si>
  <si>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</si>
  <si>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</si>
  <si>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</si>
  <si>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</si>
  <si>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</si>
  <si>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</si>
  <si>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</si>
  <si>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</si>
  <si>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</si>
  <si>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</si>
  <si>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</si>
  <si>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</si>
  <si>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</si>
  <si>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</si>
  <si>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</si>
  <si>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</si>
  <si>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</si>
  <si>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</si>
  <si>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</si>
  <si>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</si>
  <si>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</si>
  <si>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</si>
  <si>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</si>
  <si>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</si>
  <si>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</si>
  <si>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</si>
  <si>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</si>
  <si>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</si>
  <si>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</si>
  <si>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</si>
  <si>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</si>
  <si>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</si>
  <si>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</si>
  <si>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</si>
  <si>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</si>
  <si>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</si>
  <si>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</si>
  <si>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</si>
  <si>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</si>
  <si>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</si>
  <si>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</si>
  <si>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</si>
  <si>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</si>
  <si>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</si>
  <si>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</si>
  <si>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</si>
  <si>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</si>
  <si>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</si>
  <si>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</si>
  <si>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</si>
  <si>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</si>
  <si>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</si>
  <si>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</si>
  <si>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</si>
  <si>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</si>
  <si>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</si>
  <si>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</si>
  <si>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</si>
  <si>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</si>
  <si>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</si>
  <si>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</si>
  <si>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</si>
  <si>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</si>
  <si>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</si>
  <si>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</si>
  <si>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</si>
  <si>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</si>
  <si>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</si>
  <si>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</si>
  <si>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</si>
  <si>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</si>
  <si>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</si>
  <si>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</si>
  <si>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</si>
  <si>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</si>
  <si>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</si>
  <si>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</si>
  <si>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</si>
  <si>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</si>
  <si>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</si>
  <si>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</si>
  <si>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</si>
  <si>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</si>
  <si>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</si>
  <si>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</si>
  <si>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</si>
  <si>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</si>
  <si>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</si>
  <si>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</si>
  <si>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</si>
  <si>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</si>
  <si>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</si>
  <si>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</si>
  <si>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</si>
  <si>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</si>
  <si>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</si>
  <si>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</si>
  <si>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</si>
  <si>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</si>
  <si>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</si>
  <si>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</si>
  <si>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</si>
  <si>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</si>
  <si>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</si>
  <si>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</si>
  <si>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</si>
  <si>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</si>
  <si>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</si>
  <si>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</si>
  <si>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</si>
  <si>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</si>
  <si>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</si>
  <si>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</si>
  <si>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</si>
  <si>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</si>
  <si>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</si>
  <si>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</si>
  <si>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</si>
  <si>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</si>
  <si>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</si>
  <si>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</si>
  <si>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</si>
  <si>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</si>
  <si>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</si>
  <si>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</si>
  <si>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</si>
  <si>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</si>
  <si>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</si>
  <si>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</si>
  <si>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</si>
  <si>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</si>
  <si>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</si>
  <si>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</si>
  <si>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</si>
  <si>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</si>
  <si>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</si>
  <si>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</si>
  <si>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</si>
  <si>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</si>
  <si>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</si>
  <si>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</si>
  <si>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</si>
  <si>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</si>
  <si>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</si>
  <si>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</si>
  <si>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</si>
  <si>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</si>
  <si>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</si>
  <si>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</si>
  <si>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</si>
  <si>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</si>
  <si>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</si>
  <si>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</si>
  <si>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</si>
  <si>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</si>
  <si>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</si>
  <si>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</si>
  <si>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</si>
  <si>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</si>
  <si>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</si>
  <si>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</si>
  <si>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</si>
  <si>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</si>
  <si>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</si>
  <si>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</si>
  <si>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</si>
  <si>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</si>
  <si>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</si>
  <si>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</si>
  <si>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</si>
  <si>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</si>
  <si>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</si>
  <si>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</si>
  <si>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</si>
  <si>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</si>
  <si>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</si>
  <si>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</si>
  <si>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</si>
  <si>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</si>
  <si>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</si>
  <si>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</si>
  <si>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</si>
  <si>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</si>
  <si>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</si>
  <si>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</si>
  <si>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</si>
  <si>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</si>
  <si>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</si>
  <si>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</si>
  <si>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</si>
  <si>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</si>
  <si>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</si>
  <si>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</si>
  <si>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</si>
  <si>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</si>
  <si>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</si>
  <si>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</si>
  <si>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</si>
  <si>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</si>
  <si>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</si>
  <si>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</si>
  <si>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</si>
  <si>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</si>
  <si>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</si>
  <si>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</si>
  <si>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</si>
  <si>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</si>
  <si>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</si>
  <si>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</si>
  <si>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</si>
  <si>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</si>
  <si>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</si>
  <si>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</si>
  <si>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</si>
  <si>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</si>
  <si>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</si>
  <si>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</si>
  <si>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</si>
  <si>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</si>
  <si>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</si>
  <si>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</si>
  <si>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</si>
  <si>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</si>
  <si>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</si>
  <si>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</si>
  <si>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</si>
  <si>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</si>
  <si>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</si>
  <si>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</si>
  <si>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</si>
  <si>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</si>
  <si>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</si>
  <si>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</si>
  <si>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</si>
  <si>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</si>
  <si>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</si>
  <si>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</si>
  <si>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</si>
  <si>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</si>
  <si>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</si>
  <si>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</si>
  <si>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</si>
  <si>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</si>
  <si>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</si>
  <si>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</si>
  <si>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</si>
  <si>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</si>
  <si>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</si>
  <si>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</si>
  <si>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</si>
  <si>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</si>
  <si>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</si>
  <si>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</si>
  <si>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</si>
  <si>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</si>
  <si>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</si>
  <si>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</si>
  <si>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</si>
  <si>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</si>
  <si>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</si>
  <si>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</si>
  <si>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</si>
  <si>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</si>
  <si>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</si>
  <si>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</si>
  <si>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</si>
  <si>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</si>
  <si>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</si>
  <si>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</si>
  <si>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</si>
  <si>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</si>
  <si>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</si>
  <si>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</si>
  <si>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</si>
  <si>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</si>
  <si>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</si>
  <si>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</si>
  <si>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</si>
  <si>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</si>
  <si>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</si>
  <si>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</si>
  <si>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</si>
  <si>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</si>
  <si>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</si>
  <si>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</si>
  <si>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</si>
  <si>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</si>
  <si>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</si>
  <si>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</si>
  <si>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</si>
  <si>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</si>
  <si>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</si>
  <si>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</si>
  <si>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</si>
  <si>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</si>
  <si>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</si>
  <si>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</si>
  <si>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</si>
  <si>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</si>
  <si>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</si>
  <si>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</si>
  <si>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</si>
  <si>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</si>
  <si>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</si>
  <si>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</si>
  <si>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</si>
  <si>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</si>
  <si>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</si>
  <si>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</si>
  <si>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</si>
  <si>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</si>
  <si>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</si>
  <si>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</si>
  <si>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</si>
  <si>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</si>
  <si>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</si>
  <si>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</si>
  <si>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</si>
  <si>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</si>
  <si>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</si>
  <si>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</si>
  <si>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</si>
  <si>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</si>
  <si>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</si>
  <si>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</si>
  <si>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</si>
  <si>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</si>
  <si>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</si>
  <si>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</si>
  <si>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</si>
  <si>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</si>
  <si>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</si>
  <si>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" Поточний ремонт внутрішньобудинкових систем : водопостачання ; водовідведення; теплопостачання; електропостачання; 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</si>
  <si>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</si>
  <si>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</si>
  <si>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</si>
  <si>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</si>
  <si>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</si>
  <si>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</si>
  <si>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</si>
  <si>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</si>
  <si>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</si>
  <si>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</si>
  <si>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</si>
  <si>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</si>
  <si>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</si>
  <si>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</si>
  <si>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1971</t>
  </si>
  <si>
    <t>ремонтні роботи</t>
  </si>
  <si>
    <t>Обслуговування вентиляційних каналів</t>
  </si>
  <si>
    <t>цілодобово</t>
  </si>
  <si>
    <t>Не передбачувальні роботи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</si>
  <si>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</si>
  <si>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України) </t>
    </r>
  </si>
  <si>
    <t>Середньо-місячна прожитковий мінімум відповідно до Закону України "Про державний бюджет України на 2020 рік"</t>
  </si>
  <si>
    <t>Заробітна плата двірника  з урахуванням  резерву на відпустку(6,76%), грн.</t>
  </si>
  <si>
    <t>згідно переліку робіт з експлуатації об'єкта газопостачання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</si>
  <si>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</si>
  <si>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</si>
  <si>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Розрахунок середньомісячного прожиткового мінімуму в 2020 році</t>
  </si>
  <si>
    <t>Матеріальні 
витрати</t>
  </si>
  <si>
    <t>Влаштування рулонної покрівлі  в 1 шар -360 м2; влаштування примикання до вентшахт висотою до 400 мм із бікроеласту (4,0) - 21 мп</t>
  </si>
  <si>
    <t>Заміна трубт оплення d 200 мм - 2,0 мп; заміна вентилів d 20 мм на мережі опалення в підвалі 33 шт; заміна труби холодного водопостачання 7 мп; заміна вентилів 2 шт; заміна каналізаційної трубт d 100 мм - 2 мп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</si>
  <si>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</t>
    </r>
    <r>
      <rPr>
        <i/>
        <sz val="12"/>
        <color theme="1"/>
        <rFont val="Times New Roman"/>
        <family val="1"/>
        <charset val="204"/>
      </rPr>
      <t>Влаштування рулонної покрівлі  в 1 шар -360 м2; влаштування примикання до вентшахт висотою до 400 мм із бікроеласту (4,0) - 21 мп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</si>
  <si>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трубт оплення d 200 мм - 2,0 мп; заміна вентилів d 20 мм на мережі опалення в підвалі 33 шт; заміна труби холодного водопостачання 7 мп; заміна вентилів 2 шт; заміна каналізаційної трубт d 100 мм - 2 мп</t>
    </r>
  </si>
  <si>
    <t>ЗАТВЕРДЖЕНО</t>
  </si>
  <si>
    <t>Директор КП "ЖЕК"</t>
  </si>
  <si>
    <t>_______А. ШАЦЬКИХ</t>
  </si>
  <si>
    <t xml:space="preserve">                                                 Економіст            Ольга ШЕВЧЕНКО</t>
  </si>
  <si>
    <t>КОШТОРИС
витрат на утримання багатоквартирного будинку та 
прибудинкової території на 2020-2021 рр.</t>
  </si>
  <si>
    <t>Доводимо до відома співвласників багатоквартирного будинку по вул. Г.Дніпра,7 «Кошторис витрат на утримання багатоквартирного будинку та прибудинкової території на 2020-2021рр.» в якому зазначені заплановані роботи на рік в межах коштів попереднього кошторису.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</si>
</sst>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Fill="1" applyBorder="1" applyAlignment="1">
      <alignment vertical="center" wrapText="1"/>
    </xf>
    <xf numFmtId="2" fontId="24" fillId="0" borderId="1" xfId="1" applyNumberFormat="1" applyBorder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9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93" zoomScaleNormal="100" workbookViewId="0">
      <selection activeCell="H81" sqref="H81:N81"/>
    </sheetView>
  </sheetViews>
  <sheetFormatPr defaultRowHeight="15" x14ac:dyDescent="0.25"/>
  <cols>
    <col min="8" max="8" width="9.7109375" customWidth="1"/>
  </cols>
  <sheetData>
    <row r="2" spans="1:14" x14ac:dyDescent="0.25">
      <c r="A2" s="683" t="s">
        <v>13</v>
      </c>
      <c r="B2" s="683"/>
      <c r="C2" s="683"/>
      <c r="D2" s="683"/>
      <c r="E2" s="683"/>
      <c r="F2" s="683"/>
      <c r="G2" s="683"/>
      <c r="H2" s="683"/>
      <c r="I2" s="683"/>
      <c r="J2" s="683"/>
      <c r="K2" s="683"/>
      <c r="L2" s="683"/>
      <c r="M2" s="683"/>
      <c r="N2" s="683"/>
    </row>
    <row r="3" spans="1:14" x14ac:dyDescent="0.25">
      <c r="A3" s="683"/>
      <c r="B3" s="683"/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13"/>
      <c r="N3" s="14"/>
    </row>
    <row r="4" spans="1:14" x14ac:dyDescent="0.25">
      <c r="A4" s="15"/>
      <c r="B4" s="14"/>
      <c r="C4" s="912" t="s">
        <v>14</v>
      </c>
      <c r="D4" s="913"/>
      <c r="E4" s="913"/>
      <c r="F4" s="913"/>
      <c r="G4" s="913"/>
      <c r="H4" s="913"/>
      <c r="I4" s="913"/>
      <c r="J4" s="913"/>
      <c r="K4" s="913"/>
      <c r="L4" s="913"/>
      <c r="M4" s="913"/>
      <c r="N4" s="913"/>
    </row>
    <row r="5" spans="1:14" x14ac:dyDescent="0.25">
      <c r="A5" s="14"/>
      <c r="B5" s="14"/>
      <c r="C5" s="914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916" t="s">
        <v>933</v>
      </c>
      <c r="F6" s="916"/>
      <c r="G6" s="916"/>
      <c r="H6" s="916"/>
      <c r="I6" s="916"/>
      <c r="J6" s="916"/>
      <c r="K6" s="17" t="s">
        <v>18</v>
      </c>
      <c r="L6" s="18" t="s">
        <v>883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917" t="s">
        <v>19</v>
      </c>
      <c r="B8" s="764"/>
      <c r="C8" s="764"/>
      <c r="D8" s="917" t="s">
        <v>20</v>
      </c>
      <c r="E8" s="918"/>
      <c r="F8" s="918"/>
      <c r="G8" s="120"/>
      <c r="H8" s="121"/>
      <c r="I8" s="114"/>
      <c r="J8" s="122"/>
      <c r="K8" s="115"/>
      <c r="L8" s="120"/>
      <c r="M8" s="123"/>
      <c r="N8" s="123"/>
    </row>
    <row r="9" spans="1:14" x14ac:dyDescent="0.25">
      <c r="A9" s="908" t="s">
        <v>934</v>
      </c>
      <c r="B9" s="909"/>
      <c r="C9" s="910"/>
      <c r="D9" s="911"/>
      <c r="E9" s="911"/>
      <c r="F9" s="911"/>
      <c r="G9" s="116"/>
      <c r="H9" s="116"/>
      <c r="I9" s="116"/>
      <c r="J9" s="116"/>
      <c r="K9" s="117"/>
      <c r="L9" s="118"/>
      <c r="M9" s="119"/>
      <c r="N9" s="119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0" t="s">
        <v>107</v>
      </c>
      <c r="B11" s="904"/>
      <c r="C11" s="906" t="s">
        <v>108</v>
      </c>
      <c r="D11" s="906"/>
      <c r="E11" s="906" t="s">
        <v>109</v>
      </c>
      <c r="F11" s="906"/>
      <c r="G11" s="25" t="s">
        <v>110</v>
      </c>
      <c r="H11" s="113" t="s">
        <v>752</v>
      </c>
      <c r="I11" s="113" t="s">
        <v>751</v>
      </c>
      <c r="J11" s="14"/>
      <c r="K11" s="14"/>
      <c r="L11" s="26"/>
      <c r="M11" s="26"/>
      <c r="N11" s="27"/>
    </row>
    <row r="12" spans="1:14" x14ac:dyDescent="0.25">
      <c r="A12" s="905"/>
      <c r="B12" s="904"/>
      <c r="C12" s="907">
        <v>5</v>
      </c>
      <c r="D12" s="907"/>
      <c r="E12" s="907">
        <v>4</v>
      </c>
      <c r="F12" s="907"/>
      <c r="G12" s="28"/>
      <c r="H12" s="28"/>
      <c r="I12" s="28"/>
      <c r="J12" s="118"/>
      <c r="K12" s="118"/>
      <c r="L12" s="26"/>
      <c r="M12" s="26"/>
      <c r="N12" s="27"/>
    </row>
    <row r="13" spans="1:14" ht="15.75" thickBot="1" x14ac:dyDescent="0.3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81" x14ac:dyDescent="0.25">
      <c r="A14" s="897" t="s">
        <v>111</v>
      </c>
      <c r="B14" s="898"/>
      <c r="C14" s="898"/>
      <c r="D14" s="898"/>
      <c r="E14" s="898"/>
      <c r="F14" s="898"/>
      <c r="G14" s="898"/>
      <c r="H14" s="898"/>
      <c r="I14" s="899"/>
      <c r="J14" s="900" t="s">
        <v>112</v>
      </c>
      <c r="K14" s="901"/>
      <c r="L14" s="30" t="s">
        <v>113</v>
      </c>
      <c r="M14" s="30" t="s">
        <v>114</v>
      </c>
      <c r="N14" s="31" t="s">
        <v>115</v>
      </c>
    </row>
    <row r="15" spans="1:14" x14ac:dyDescent="0.25">
      <c r="A15" s="886" t="s">
        <v>116</v>
      </c>
      <c r="B15" s="891"/>
      <c r="C15" s="891"/>
      <c r="D15" s="891"/>
      <c r="E15" s="891"/>
      <c r="F15" s="891"/>
      <c r="G15" s="891"/>
      <c r="H15" s="891"/>
      <c r="I15" s="892"/>
      <c r="J15" s="902">
        <v>70</v>
      </c>
      <c r="K15" s="903"/>
      <c r="L15" s="32">
        <v>0</v>
      </c>
      <c r="M15" s="32">
        <v>0</v>
      </c>
      <c r="N15" s="33">
        <f>J15+L15+M15</f>
        <v>70</v>
      </c>
    </row>
    <row r="16" spans="1:14" x14ac:dyDescent="0.25">
      <c r="A16" s="886" t="s">
        <v>117</v>
      </c>
      <c r="B16" s="887"/>
      <c r="C16" s="887"/>
      <c r="D16" s="887"/>
      <c r="E16" s="887"/>
      <c r="F16" s="887"/>
      <c r="G16" s="887"/>
      <c r="H16" s="887"/>
      <c r="I16" s="888"/>
      <c r="J16" s="889">
        <v>2981.4</v>
      </c>
      <c r="K16" s="890"/>
      <c r="L16" s="34">
        <v>0</v>
      </c>
      <c r="M16" s="34">
        <v>0</v>
      </c>
      <c r="N16" s="35">
        <f>J16+L16+M16</f>
        <v>2981.4</v>
      </c>
    </row>
    <row r="17" spans="1:14" x14ac:dyDescent="0.25">
      <c r="A17" s="886" t="s">
        <v>118</v>
      </c>
      <c r="B17" s="891"/>
      <c r="C17" s="891"/>
      <c r="D17" s="891"/>
      <c r="E17" s="891"/>
      <c r="F17" s="891"/>
      <c r="G17" s="891"/>
      <c r="H17" s="891"/>
      <c r="I17" s="892"/>
      <c r="J17" s="889"/>
      <c r="K17" s="890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893" t="s">
        <v>119</v>
      </c>
      <c r="B18" s="894"/>
      <c r="C18" s="894"/>
      <c r="D18" s="894"/>
      <c r="E18" s="894"/>
      <c r="F18" s="894"/>
      <c r="G18" s="894"/>
      <c r="H18" s="894"/>
      <c r="I18" s="894"/>
      <c r="J18" s="895"/>
      <c r="K18" s="896"/>
      <c r="L18" s="869"/>
      <c r="M18" s="870"/>
      <c r="N18" s="36">
        <f>N16</f>
        <v>2981.4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71" t="s">
        <v>120</v>
      </c>
      <c r="B20" s="872"/>
      <c r="C20" s="872"/>
      <c r="D20" s="872"/>
      <c r="E20" s="872"/>
      <c r="F20" s="872"/>
      <c r="G20" s="872"/>
      <c r="H20" s="872"/>
      <c r="I20" s="872"/>
      <c r="J20" s="872"/>
      <c r="K20" s="872"/>
      <c r="L20" s="872"/>
      <c r="M20" s="872"/>
      <c r="N20" s="873"/>
    </row>
    <row r="21" spans="1:14" hidden="1" x14ac:dyDescent="0.25">
      <c r="A21" s="874" t="s">
        <v>22</v>
      </c>
      <c r="B21" s="875"/>
      <c r="C21" s="875"/>
      <c r="D21" s="875"/>
      <c r="E21" s="875"/>
      <c r="F21" s="876"/>
      <c r="G21" s="880" t="s">
        <v>23</v>
      </c>
      <c r="H21" s="881"/>
      <c r="I21" s="881"/>
      <c r="J21" s="880" t="s">
        <v>24</v>
      </c>
      <c r="K21" s="881"/>
      <c r="L21" s="881"/>
      <c r="M21" s="881" t="s">
        <v>21</v>
      </c>
      <c r="N21" s="882"/>
    </row>
    <row r="22" spans="1:14" hidden="1" x14ac:dyDescent="0.25">
      <c r="A22" s="877"/>
      <c r="B22" s="878"/>
      <c r="C22" s="878"/>
      <c r="D22" s="878"/>
      <c r="E22" s="878"/>
      <c r="F22" s="879"/>
      <c r="G22" s="847"/>
      <c r="H22" s="847"/>
      <c r="I22" s="847"/>
      <c r="J22" s="847">
        <v>0</v>
      </c>
      <c r="K22" s="847"/>
      <c r="L22" s="847"/>
      <c r="M22" s="847">
        <f>G22+J22</f>
        <v>0</v>
      </c>
      <c r="N22" s="883"/>
    </row>
    <row r="23" spans="1:14" hidden="1" x14ac:dyDescent="0.25">
      <c r="A23" s="856" t="s">
        <v>25</v>
      </c>
      <c r="B23" s="857"/>
      <c r="C23" s="857"/>
      <c r="D23" s="857"/>
      <c r="E23" s="857"/>
      <c r="F23" s="858"/>
      <c r="G23" s="859"/>
      <c r="H23" s="860"/>
      <c r="I23" s="861"/>
      <c r="J23" s="859"/>
      <c r="K23" s="860"/>
      <c r="L23" s="861"/>
      <c r="M23" s="34">
        <f>G23+J23</f>
        <v>0</v>
      </c>
      <c r="N23" s="38">
        <v>0</v>
      </c>
    </row>
    <row r="24" spans="1:14" hidden="1" x14ac:dyDescent="0.25">
      <c r="A24" s="862" t="s">
        <v>26</v>
      </c>
      <c r="B24" s="863"/>
      <c r="C24" s="863"/>
      <c r="D24" s="863"/>
      <c r="E24" s="863"/>
      <c r="F24" s="863"/>
      <c r="G24" s="863"/>
      <c r="H24" s="863"/>
      <c r="I24" s="863"/>
      <c r="J24" s="863"/>
      <c r="K24" s="863"/>
      <c r="L24" s="863"/>
      <c r="M24" s="34"/>
      <c r="N24" s="38">
        <v>0</v>
      </c>
    </row>
    <row r="25" spans="1:14" hidden="1" x14ac:dyDescent="0.25">
      <c r="A25" s="864" t="s">
        <v>27</v>
      </c>
      <c r="B25" s="842"/>
      <c r="C25" s="842"/>
      <c r="D25" s="842"/>
      <c r="E25" s="842"/>
      <c r="F25" s="842"/>
      <c r="G25" s="843"/>
      <c r="H25" s="865" t="s">
        <v>28</v>
      </c>
      <c r="I25" s="866"/>
      <c r="J25" s="867" t="s">
        <v>29</v>
      </c>
      <c r="K25" s="868"/>
      <c r="L25" s="39" t="s">
        <v>30</v>
      </c>
      <c r="M25" s="884" t="s">
        <v>31</v>
      </c>
      <c r="N25" s="885"/>
    </row>
    <row r="26" spans="1:14" hidden="1" x14ac:dyDescent="0.25">
      <c r="A26" s="841" t="s">
        <v>32</v>
      </c>
      <c r="B26" s="842"/>
      <c r="C26" s="842"/>
      <c r="D26" s="842"/>
      <c r="E26" s="842"/>
      <c r="F26" s="842"/>
      <c r="G26" s="843"/>
      <c r="H26" s="844">
        <v>2</v>
      </c>
      <c r="I26" s="845"/>
      <c r="J26" s="846" t="s">
        <v>33</v>
      </c>
      <c r="K26" s="846"/>
      <c r="L26" s="40"/>
      <c r="M26" s="847"/>
      <c r="N26" s="848"/>
    </row>
    <row r="27" spans="1:14" hidden="1" x14ac:dyDescent="0.25">
      <c r="A27" s="841" t="s">
        <v>34</v>
      </c>
      <c r="B27" s="842"/>
      <c r="C27" s="842"/>
      <c r="D27" s="842"/>
      <c r="E27" s="842"/>
      <c r="F27" s="842"/>
      <c r="G27" s="843"/>
      <c r="H27" s="844">
        <v>2</v>
      </c>
      <c r="I27" s="845"/>
      <c r="J27" s="846" t="s">
        <v>33</v>
      </c>
      <c r="K27" s="846"/>
      <c r="L27" s="40"/>
      <c r="M27" s="847"/>
      <c r="N27" s="848"/>
    </row>
    <row r="28" spans="1:14" hidden="1" x14ac:dyDescent="0.25">
      <c r="A28" s="841" t="s">
        <v>35</v>
      </c>
      <c r="B28" s="842"/>
      <c r="C28" s="842"/>
      <c r="D28" s="842"/>
      <c r="E28" s="842"/>
      <c r="F28" s="842"/>
      <c r="G28" s="843"/>
      <c r="H28" s="844">
        <v>2</v>
      </c>
      <c r="I28" s="845"/>
      <c r="J28" s="846" t="s">
        <v>33</v>
      </c>
      <c r="K28" s="846"/>
      <c r="L28" s="40"/>
      <c r="M28" s="847"/>
      <c r="N28" s="848"/>
    </row>
    <row r="29" spans="1:14" hidden="1" x14ac:dyDescent="0.25">
      <c r="A29" s="841" t="s">
        <v>36</v>
      </c>
      <c r="B29" s="842"/>
      <c r="C29" s="842"/>
      <c r="D29" s="842"/>
      <c r="E29" s="842"/>
      <c r="F29" s="842"/>
      <c r="G29" s="843"/>
      <c r="H29" s="844">
        <v>2</v>
      </c>
      <c r="I29" s="845"/>
      <c r="J29" s="846" t="s">
        <v>33</v>
      </c>
      <c r="K29" s="846"/>
      <c r="L29" s="40"/>
      <c r="M29" s="847"/>
      <c r="N29" s="848"/>
    </row>
    <row r="30" spans="1:14" hidden="1" x14ac:dyDescent="0.25">
      <c r="A30" s="841" t="s">
        <v>37</v>
      </c>
      <c r="B30" s="842"/>
      <c r="C30" s="842"/>
      <c r="D30" s="842"/>
      <c r="E30" s="842"/>
      <c r="F30" s="842"/>
      <c r="G30" s="843"/>
      <c r="H30" s="844">
        <v>2</v>
      </c>
      <c r="I30" s="845"/>
      <c r="J30" s="846" t="s">
        <v>33</v>
      </c>
      <c r="K30" s="846"/>
      <c r="L30" s="40"/>
      <c r="M30" s="847"/>
      <c r="N30" s="848"/>
    </row>
    <row r="31" spans="1:14" hidden="1" x14ac:dyDescent="0.25">
      <c r="A31" s="841" t="s">
        <v>38</v>
      </c>
      <c r="B31" s="842"/>
      <c r="C31" s="842"/>
      <c r="D31" s="842"/>
      <c r="E31" s="842"/>
      <c r="F31" s="842"/>
      <c r="G31" s="843"/>
      <c r="H31" s="844">
        <v>2</v>
      </c>
      <c r="I31" s="845"/>
      <c r="J31" s="846" t="s">
        <v>33</v>
      </c>
      <c r="K31" s="846"/>
      <c r="L31" s="40"/>
      <c r="M31" s="847"/>
      <c r="N31" s="848"/>
    </row>
    <row r="32" spans="1:14" hidden="1" x14ac:dyDescent="0.25">
      <c r="A32" s="841" t="s">
        <v>39</v>
      </c>
      <c r="B32" s="842"/>
      <c r="C32" s="842"/>
      <c r="D32" s="842"/>
      <c r="E32" s="842"/>
      <c r="F32" s="842"/>
      <c r="G32" s="843"/>
      <c r="H32" s="844">
        <v>2</v>
      </c>
      <c r="I32" s="845"/>
      <c r="J32" s="846" t="s">
        <v>33</v>
      </c>
      <c r="K32" s="846"/>
      <c r="L32" s="40"/>
      <c r="M32" s="847"/>
      <c r="N32" s="848"/>
    </row>
    <row r="33" spans="1:14" ht="15.75" hidden="1" thickBot="1" x14ac:dyDescent="0.3">
      <c r="A33" s="849" t="s">
        <v>40</v>
      </c>
      <c r="B33" s="850"/>
      <c r="C33" s="850"/>
      <c r="D33" s="850"/>
      <c r="E33" s="850"/>
      <c r="F33" s="850"/>
      <c r="G33" s="850"/>
      <c r="H33" s="850"/>
      <c r="I33" s="850"/>
      <c r="J33" s="850"/>
      <c r="K33" s="850"/>
      <c r="L33" s="850"/>
      <c r="M33" s="850"/>
      <c r="N33" s="851"/>
    </row>
    <row r="34" spans="1:14" hidden="1" x14ac:dyDescent="0.25">
      <c r="A34" s="852" t="s">
        <v>41</v>
      </c>
      <c r="B34" s="824"/>
      <c r="C34" s="853"/>
      <c r="D34" s="853"/>
      <c r="E34" s="824" t="s">
        <v>42</v>
      </c>
      <c r="F34" s="824"/>
      <c r="G34" s="41"/>
      <c r="H34" s="824" t="s">
        <v>43</v>
      </c>
      <c r="I34" s="824"/>
      <c r="J34" s="854"/>
      <c r="K34" s="855"/>
      <c r="L34" s="824" t="s">
        <v>44</v>
      </c>
      <c r="M34" s="824"/>
      <c r="N34" s="42"/>
    </row>
    <row r="35" spans="1:14" hidden="1" x14ac:dyDescent="0.25">
      <c r="A35" s="825" t="s">
        <v>45</v>
      </c>
      <c r="B35" s="826"/>
      <c r="C35" s="826"/>
      <c r="D35" s="826"/>
      <c r="E35" s="827"/>
      <c r="F35" s="828"/>
      <c r="G35" s="43" t="s">
        <v>46</v>
      </c>
      <c r="H35" s="829"/>
      <c r="I35" s="830"/>
      <c r="J35" s="831" t="s">
        <v>47</v>
      </c>
      <c r="K35" s="832"/>
      <c r="L35" s="832"/>
      <c r="M35" s="833"/>
      <c r="N35" s="44"/>
    </row>
    <row r="36" spans="1:14" hidden="1" x14ac:dyDescent="0.25">
      <c r="A36" s="834" t="s">
        <v>48</v>
      </c>
      <c r="B36" s="835"/>
      <c r="C36" s="836"/>
      <c r="D36" s="837"/>
      <c r="E36" s="838" t="s">
        <v>49</v>
      </c>
      <c r="F36" s="838"/>
      <c r="G36" s="839"/>
      <c r="H36" s="839"/>
      <c r="I36" s="840"/>
      <c r="J36" s="840"/>
      <c r="K36" s="840"/>
      <c r="L36" s="45"/>
      <c r="M36" s="46" t="s">
        <v>50</v>
      </c>
      <c r="N36" s="47"/>
    </row>
    <row r="37" spans="1:14" ht="15.75" hidden="1" thickBot="1" x14ac:dyDescent="0.3">
      <c r="A37" s="815" t="s">
        <v>51</v>
      </c>
      <c r="B37" s="816"/>
      <c r="C37" s="816"/>
      <c r="D37" s="817"/>
      <c r="E37" s="818">
        <v>0</v>
      </c>
      <c r="F37" s="819"/>
      <c r="G37" s="820" t="s">
        <v>52</v>
      </c>
      <c r="H37" s="816"/>
      <c r="I37" s="816"/>
      <c r="J37" s="821">
        <v>0</v>
      </c>
      <c r="K37" s="822"/>
      <c r="L37" s="823" t="s">
        <v>53</v>
      </c>
      <c r="M37" s="817"/>
      <c r="N37" s="143"/>
    </row>
    <row r="38" spans="1:14" x14ac:dyDescent="0.25">
      <c r="A38" s="682" t="s">
        <v>121</v>
      </c>
      <c r="B38" s="682"/>
      <c r="C38" s="682"/>
      <c r="D38" s="682"/>
      <c r="E38" s="682"/>
      <c r="F38" s="682"/>
      <c r="G38" s="682"/>
      <c r="H38" s="682"/>
      <c r="I38" s="682"/>
      <c r="J38" s="682"/>
      <c r="K38" s="682"/>
      <c r="L38" s="682"/>
      <c r="M38" s="682"/>
      <c r="N38" s="682"/>
    </row>
    <row r="39" spans="1:14" x14ac:dyDescent="0.25">
      <c r="A39" s="680" t="s">
        <v>122</v>
      </c>
      <c r="B39" s="680"/>
      <c r="C39" s="680"/>
      <c r="D39" s="680"/>
      <c r="E39" s="680"/>
      <c r="F39" s="680"/>
      <c r="G39" s="680"/>
      <c r="H39" s="680"/>
      <c r="I39" s="127"/>
      <c r="J39" s="127"/>
      <c r="K39" s="813"/>
      <c r="L39" s="813"/>
      <c r="M39" s="683"/>
      <c r="N39" s="814"/>
    </row>
    <row r="40" spans="1:14" x14ac:dyDescent="0.25">
      <c r="A40" s="681"/>
      <c r="B40" s="681"/>
      <c r="C40" s="681"/>
      <c r="D40" s="681"/>
      <c r="E40" s="681"/>
      <c r="F40" s="681"/>
      <c r="G40" s="681"/>
      <c r="H40" s="681"/>
      <c r="I40" s="141"/>
      <c r="J40" s="142"/>
      <c r="K40" s="128"/>
      <c r="L40" s="128"/>
      <c r="M40" s="129"/>
      <c r="N40" s="128"/>
    </row>
    <row r="41" spans="1:14" x14ac:dyDescent="0.25">
      <c r="A41" s="686" t="s">
        <v>123</v>
      </c>
      <c r="B41" s="741"/>
      <c r="C41" s="741"/>
      <c r="D41" s="741"/>
      <c r="E41" s="741"/>
      <c r="F41" s="741"/>
      <c r="G41" s="741"/>
      <c r="H41" s="48">
        <v>635</v>
      </c>
      <c r="I41" s="139"/>
      <c r="J41" s="139"/>
      <c r="K41" s="130"/>
      <c r="L41" s="130"/>
      <c r="M41" s="131"/>
      <c r="N41" s="130"/>
    </row>
    <row r="42" spans="1:14" x14ac:dyDescent="0.25">
      <c r="A42" s="686" t="s">
        <v>124</v>
      </c>
      <c r="B42" s="741"/>
      <c r="C42" s="741"/>
      <c r="D42" s="741"/>
      <c r="E42" s="741"/>
      <c r="F42" s="741"/>
      <c r="G42" s="741"/>
      <c r="H42" s="48"/>
      <c r="I42" s="139"/>
      <c r="J42" s="139"/>
      <c r="K42" s="130"/>
      <c r="L42" s="130"/>
      <c r="M42" s="131"/>
      <c r="N42" s="130"/>
    </row>
    <row r="43" spans="1:14" x14ac:dyDescent="0.25">
      <c r="A43" s="686" t="s">
        <v>125</v>
      </c>
      <c r="B43" s="741"/>
      <c r="C43" s="741"/>
      <c r="D43" s="741"/>
      <c r="E43" s="741"/>
      <c r="F43" s="741"/>
      <c r="G43" s="741"/>
      <c r="H43" s="48"/>
      <c r="I43" s="139"/>
      <c r="J43" s="139"/>
      <c r="K43" s="130"/>
      <c r="L43" s="130"/>
      <c r="M43" s="131"/>
      <c r="N43" s="130"/>
    </row>
    <row r="44" spans="1:14" x14ac:dyDescent="0.25">
      <c r="A44" s="686" t="s">
        <v>126</v>
      </c>
      <c r="B44" s="741"/>
      <c r="C44" s="741"/>
      <c r="D44" s="741"/>
      <c r="E44" s="741"/>
      <c r="F44" s="741"/>
      <c r="G44" s="741"/>
      <c r="H44" s="137">
        <v>166</v>
      </c>
      <c r="I44" s="132"/>
      <c r="J44" s="132"/>
      <c r="K44" s="139"/>
      <c r="L44" s="139"/>
      <c r="M44" s="140"/>
      <c r="N44" s="132"/>
    </row>
    <row r="45" spans="1:14" x14ac:dyDescent="0.25">
      <c r="A45" s="681" t="s">
        <v>127</v>
      </c>
      <c r="B45" s="681"/>
      <c r="C45" s="681"/>
      <c r="D45" s="681"/>
      <c r="E45" s="681"/>
      <c r="F45" s="681"/>
      <c r="G45" s="681"/>
      <c r="H45" s="681"/>
      <c r="I45" s="37"/>
      <c r="J45" s="37"/>
      <c r="K45" s="138"/>
      <c r="L45" s="138"/>
      <c r="M45" s="122"/>
      <c r="N45" s="115"/>
    </row>
    <row r="46" spans="1:14" x14ac:dyDescent="0.25">
      <c r="A46" s="681"/>
      <c r="B46" s="681"/>
      <c r="C46" s="681"/>
      <c r="D46" s="681"/>
      <c r="E46" s="681"/>
      <c r="F46" s="681"/>
      <c r="G46" s="681"/>
      <c r="H46" s="681"/>
      <c r="I46" s="811"/>
      <c r="J46" s="811"/>
      <c r="K46" s="133"/>
      <c r="L46" s="133"/>
      <c r="M46" s="134"/>
      <c r="N46" s="133"/>
    </row>
    <row r="47" spans="1:14" x14ac:dyDescent="0.25">
      <c r="A47" s="686" t="s">
        <v>128</v>
      </c>
      <c r="B47" s="741"/>
      <c r="C47" s="741"/>
      <c r="D47" s="741"/>
      <c r="E47" s="741"/>
      <c r="F47" s="741"/>
      <c r="G47" s="741"/>
      <c r="H47" s="48">
        <v>4088</v>
      </c>
      <c r="I47" s="812"/>
      <c r="J47" s="812"/>
      <c r="K47" s="131"/>
      <c r="L47" s="135"/>
      <c r="M47" s="136"/>
      <c r="N47" s="130"/>
    </row>
    <row r="48" spans="1:14" x14ac:dyDescent="0.25">
      <c r="A48" s="794" t="s">
        <v>129</v>
      </c>
      <c r="B48" s="795"/>
      <c r="C48" s="795"/>
      <c r="D48" s="795"/>
      <c r="E48" s="795"/>
      <c r="F48" s="795"/>
      <c r="G48" s="796"/>
      <c r="H48" s="800" t="s">
        <v>130</v>
      </c>
      <c r="I48" s="801"/>
      <c r="J48" s="801"/>
      <c r="K48" s="802"/>
      <c r="L48" s="803" t="s">
        <v>131</v>
      </c>
      <c r="M48" s="804"/>
      <c r="N48" s="805"/>
    </row>
    <row r="49" spans="1:14" ht="15.75" thickBot="1" x14ac:dyDescent="0.3">
      <c r="A49" s="797"/>
      <c r="B49" s="798"/>
      <c r="C49" s="798"/>
      <c r="D49" s="798"/>
      <c r="E49" s="798"/>
      <c r="F49" s="798"/>
      <c r="G49" s="799"/>
      <c r="H49" s="806">
        <v>0</v>
      </c>
      <c r="I49" s="807"/>
      <c r="J49" s="807"/>
      <c r="K49" s="808"/>
      <c r="L49" s="809">
        <v>3993</v>
      </c>
      <c r="M49" s="809"/>
      <c r="N49" s="810"/>
    </row>
    <row r="50" spans="1:14" x14ac:dyDescent="0.25">
      <c r="A50" s="702" t="s">
        <v>132</v>
      </c>
      <c r="B50" s="703"/>
      <c r="C50" s="703"/>
      <c r="D50" s="703"/>
      <c r="E50" s="703"/>
      <c r="F50" s="790"/>
      <c r="G50" s="49">
        <v>0</v>
      </c>
      <c r="H50" s="791" t="s">
        <v>133</v>
      </c>
      <c r="I50" s="792"/>
      <c r="J50" s="792"/>
      <c r="K50" s="792"/>
      <c r="L50" s="792"/>
      <c r="M50" s="793"/>
      <c r="N50" s="49">
        <v>9</v>
      </c>
    </row>
    <row r="51" spans="1:14" hidden="1" x14ac:dyDescent="0.25">
      <c r="A51" s="20"/>
      <c r="B51" s="20"/>
      <c r="C51" s="683" t="s">
        <v>54</v>
      </c>
      <c r="D51" s="780"/>
      <c r="E51" s="780"/>
      <c r="F51" s="780"/>
      <c r="G51" s="780"/>
      <c r="H51" s="780"/>
      <c r="I51" s="780"/>
      <c r="J51" s="780"/>
      <c r="K51" s="780"/>
      <c r="L51" s="780"/>
      <c r="M51" s="20"/>
      <c r="N51" s="14"/>
    </row>
    <row r="52" spans="1:14" ht="15.75" hidden="1" thickBot="1" x14ac:dyDescent="0.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.75" hidden="1" thickBot="1" x14ac:dyDescent="0.3">
      <c r="A53" s="742" t="s">
        <v>55</v>
      </c>
      <c r="B53" s="743"/>
      <c r="C53" s="743"/>
      <c r="D53" s="743"/>
      <c r="E53" s="744"/>
      <c r="F53" s="745" t="s">
        <v>56</v>
      </c>
      <c r="G53" s="746"/>
      <c r="H53" s="746"/>
      <c r="I53" s="746"/>
      <c r="J53" s="746"/>
      <c r="K53" s="748"/>
      <c r="L53" s="748"/>
      <c r="M53" s="748"/>
      <c r="N53" s="781"/>
    </row>
    <row r="54" spans="1:14" hidden="1" x14ac:dyDescent="0.25">
      <c r="A54" s="782" t="s">
        <v>57</v>
      </c>
      <c r="B54" s="783"/>
      <c r="C54" s="783"/>
      <c r="D54" s="783"/>
      <c r="E54" s="50"/>
      <c r="F54" s="784" t="s">
        <v>58</v>
      </c>
      <c r="G54" s="785"/>
      <c r="H54" s="699" t="s">
        <v>59</v>
      </c>
      <c r="I54" s="699"/>
      <c r="J54" s="51"/>
      <c r="K54" s="787" t="s">
        <v>60</v>
      </c>
      <c r="L54" s="767"/>
      <c r="M54" s="767"/>
      <c r="N54" s="52">
        <v>1360</v>
      </c>
    </row>
    <row r="55" spans="1:14" hidden="1" x14ac:dyDescent="0.25">
      <c r="A55" s="788" t="s">
        <v>61</v>
      </c>
      <c r="B55" s="789"/>
      <c r="C55" s="789"/>
      <c r="D55" s="789"/>
      <c r="E55" s="53"/>
      <c r="F55" s="786"/>
      <c r="G55" s="785"/>
      <c r="H55" s="772" t="s">
        <v>62</v>
      </c>
      <c r="I55" s="772"/>
      <c r="J55" s="54"/>
      <c r="K55" s="773" t="s">
        <v>63</v>
      </c>
      <c r="L55" s="774"/>
      <c r="M55" s="774"/>
      <c r="N55" s="52"/>
    </row>
    <row r="56" spans="1:14" hidden="1" x14ac:dyDescent="0.25">
      <c r="A56" s="775" t="s">
        <v>64</v>
      </c>
      <c r="B56" s="691"/>
      <c r="C56" s="691"/>
      <c r="D56" s="691"/>
      <c r="E56" s="55">
        <v>1</v>
      </c>
      <c r="F56" s="776" t="s">
        <v>65</v>
      </c>
      <c r="G56" s="777"/>
      <c r="H56" s="56" t="s">
        <v>66</v>
      </c>
      <c r="I56" s="29"/>
      <c r="J56" s="57"/>
      <c r="K56" s="766" t="s">
        <v>67</v>
      </c>
      <c r="L56" s="774"/>
      <c r="M56" s="774"/>
      <c r="N56" s="19">
        <v>213</v>
      </c>
    </row>
    <row r="57" spans="1:14" hidden="1" x14ac:dyDescent="0.25">
      <c r="A57" s="775" t="s">
        <v>68</v>
      </c>
      <c r="B57" s="691"/>
      <c r="C57" s="691"/>
      <c r="D57" s="691"/>
      <c r="E57" s="55"/>
      <c r="F57" s="778"/>
      <c r="G57" s="779"/>
      <c r="H57" s="56" t="s">
        <v>69</v>
      </c>
      <c r="I57" s="58"/>
      <c r="J57" s="59"/>
      <c r="K57" s="766" t="s">
        <v>70</v>
      </c>
      <c r="L57" s="767"/>
      <c r="M57" s="767"/>
      <c r="N57" s="19">
        <v>48</v>
      </c>
    </row>
    <row r="58" spans="1:14" hidden="1" x14ac:dyDescent="0.25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766" t="s">
        <v>71</v>
      </c>
      <c r="L58" s="767"/>
      <c r="M58" s="767"/>
      <c r="N58" s="19">
        <v>2</v>
      </c>
    </row>
    <row r="59" spans="1:14" ht="15.75" hidden="1" thickBot="1" x14ac:dyDescent="0.3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.75" hidden="1" thickBot="1" x14ac:dyDescent="0.3">
      <c r="A60" s="742" t="s">
        <v>55</v>
      </c>
      <c r="B60" s="743"/>
      <c r="C60" s="743"/>
      <c r="D60" s="743"/>
      <c r="E60" s="743"/>
      <c r="F60" s="768" t="s">
        <v>72</v>
      </c>
      <c r="G60" s="747"/>
      <c r="H60" s="747"/>
      <c r="I60" s="747"/>
      <c r="J60" s="746"/>
      <c r="K60" s="749"/>
      <c r="L60" s="749"/>
      <c r="M60" s="749"/>
      <c r="N60" s="750"/>
    </row>
    <row r="61" spans="1:14" hidden="1" x14ac:dyDescent="0.25">
      <c r="A61" s="698" t="s">
        <v>73</v>
      </c>
      <c r="B61" s="751"/>
      <c r="C61" s="751"/>
      <c r="D61" s="752"/>
      <c r="E61" s="62"/>
      <c r="F61" s="686" t="s">
        <v>74</v>
      </c>
      <c r="G61" s="761"/>
      <c r="H61" s="761"/>
      <c r="I61" s="63">
        <v>0</v>
      </c>
      <c r="J61" s="14" t="s">
        <v>75</v>
      </c>
      <c r="K61" s="20"/>
      <c r="L61" s="20"/>
      <c r="M61" s="20"/>
      <c r="N61" s="64"/>
    </row>
    <row r="62" spans="1:14" hidden="1" x14ac:dyDescent="0.25">
      <c r="A62" s="695" t="s">
        <v>76</v>
      </c>
      <c r="B62" s="740"/>
      <c r="C62" s="740"/>
      <c r="D62" s="769"/>
      <c r="E62" s="65"/>
      <c r="F62" s="770" t="s">
        <v>77</v>
      </c>
      <c r="G62" s="771"/>
      <c r="H62" s="771"/>
      <c r="I62" s="66"/>
      <c r="J62" s="14"/>
      <c r="K62" s="20"/>
      <c r="L62" s="14"/>
      <c r="M62" s="20"/>
      <c r="N62" s="64"/>
    </row>
    <row r="63" spans="1:14" ht="15.75" hidden="1" thickBot="1" x14ac:dyDescent="0.3">
      <c r="A63" s="738" t="s">
        <v>68</v>
      </c>
      <c r="B63" s="739"/>
      <c r="C63" s="739"/>
      <c r="D63" s="739"/>
      <c r="E63" s="67"/>
      <c r="F63" s="686" t="s">
        <v>70</v>
      </c>
      <c r="G63" s="686"/>
      <c r="H63" s="686"/>
      <c r="I63" s="58" t="s">
        <v>78</v>
      </c>
      <c r="J63" s="68"/>
      <c r="K63" s="69"/>
      <c r="L63" s="68"/>
      <c r="M63" s="69"/>
      <c r="N63" s="70"/>
    </row>
    <row r="64" spans="1:14" ht="15.75" hidden="1" thickBot="1" x14ac:dyDescent="0.3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.75" hidden="1" thickBot="1" x14ac:dyDescent="0.3">
      <c r="A65" s="742" t="s">
        <v>55</v>
      </c>
      <c r="B65" s="743"/>
      <c r="C65" s="743"/>
      <c r="D65" s="743"/>
      <c r="E65" s="743"/>
      <c r="F65" s="745" t="s">
        <v>79</v>
      </c>
      <c r="G65" s="746"/>
      <c r="H65" s="746"/>
      <c r="I65" s="746"/>
      <c r="J65" s="746"/>
      <c r="K65" s="749"/>
      <c r="L65" s="749"/>
      <c r="M65" s="749"/>
      <c r="N65" s="750"/>
    </row>
    <row r="66" spans="1:14" hidden="1" x14ac:dyDescent="0.25">
      <c r="A66" s="698" t="s">
        <v>64</v>
      </c>
      <c r="B66" s="751"/>
      <c r="C66" s="751"/>
      <c r="D66" s="752"/>
      <c r="E66" s="62">
        <v>1</v>
      </c>
      <c r="F66" s="71" t="s">
        <v>80</v>
      </c>
      <c r="G66" s="72"/>
      <c r="H66" s="72"/>
      <c r="I66" s="72"/>
      <c r="J66" s="73">
        <v>0</v>
      </c>
      <c r="K66" s="765" t="s">
        <v>81</v>
      </c>
      <c r="L66" s="760"/>
      <c r="M66" s="760"/>
      <c r="N66" s="74">
        <v>375</v>
      </c>
    </row>
    <row r="67" spans="1:14" ht="15.75" hidden="1" thickBot="1" x14ac:dyDescent="0.3">
      <c r="A67" s="753" t="s">
        <v>82</v>
      </c>
      <c r="B67" s="754"/>
      <c r="C67" s="754"/>
      <c r="D67" s="755"/>
      <c r="E67" s="75"/>
      <c r="F67" s="763" t="s">
        <v>83</v>
      </c>
      <c r="G67" s="761"/>
      <c r="H67" s="761"/>
      <c r="I67" s="761"/>
      <c r="J67" s="76"/>
      <c r="K67" s="764" t="s">
        <v>84</v>
      </c>
      <c r="L67" s="741"/>
      <c r="M67" s="741"/>
      <c r="N67" s="52"/>
    </row>
    <row r="68" spans="1:14" hidden="1" x14ac:dyDescent="0.25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764" t="s">
        <v>70</v>
      </c>
      <c r="L68" s="741"/>
      <c r="M68" s="741"/>
      <c r="N68" s="19">
        <v>19</v>
      </c>
    </row>
    <row r="69" spans="1:14" ht="15.75" hidden="1" thickBot="1" x14ac:dyDescent="0.3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.75" hidden="1" thickBot="1" x14ac:dyDescent="0.3">
      <c r="A70" s="742" t="s">
        <v>85</v>
      </c>
      <c r="B70" s="743"/>
      <c r="C70" s="743"/>
      <c r="D70" s="743"/>
      <c r="E70" s="744"/>
      <c r="F70" s="745" t="s">
        <v>86</v>
      </c>
      <c r="G70" s="749"/>
      <c r="H70" s="749"/>
      <c r="I70" s="749"/>
      <c r="J70" s="749"/>
      <c r="K70" s="749"/>
      <c r="L70" s="749"/>
      <c r="M70" s="749"/>
      <c r="N70" s="750"/>
    </row>
    <row r="71" spans="1:14" hidden="1" x14ac:dyDescent="0.25">
      <c r="A71" s="756" t="s">
        <v>87</v>
      </c>
      <c r="B71" s="757"/>
      <c r="C71" s="757"/>
      <c r="D71" s="757"/>
      <c r="E71" s="80">
        <v>1</v>
      </c>
      <c r="F71" s="699" t="s">
        <v>88</v>
      </c>
      <c r="G71" s="758"/>
      <c r="H71" s="758"/>
      <c r="I71" s="758"/>
      <c r="J71" s="81"/>
      <c r="K71" s="759" t="s">
        <v>89</v>
      </c>
      <c r="L71" s="760"/>
      <c r="M71" s="760"/>
      <c r="N71" s="74">
        <v>516</v>
      </c>
    </row>
    <row r="72" spans="1:14" ht="15.75" hidden="1" thickBot="1" x14ac:dyDescent="0.3">
      <c r="A72" s="753" t="s">
        <v>90</v>
      </c>
      <c r="B72" s="754"/>
      <c r="C72" s="754"/>
      <c r="D72" s="754"/>
      <c r="E72" s="82"/>
      <c r="F72" s="686" t="s">
        <v>91</v>
      </c>
      <c r="G72" s="761"/>
      <c r="H72" s="761"/>
      <c r="I72" s="761"/>
      <c r="J72" s="29"/>
      <c r="K72" s="762" t="s">
        <v>92</v>
      </c>
      <c r="L72" s="741"/>
      <c r="M72" s="741"/>
      <c r="N72" s="19"/>
    </row>
    <row r="73" spans="1:14" ht="15.75" hidden="1" thickBot="1" x14ac:dyDescent="0.3">
      <c r="A73" s="738"/>
      <c r="B73" s="739"/>
      <c r="C73" s="739"/>
      <c r="D73" s="739"/>
      <c r="E73" s="69"/>
      <c r="F73" s="83" t="s">
        <v>93</v>
      </c>
      <c r="G73" s="58"/>
      <c r="H73" s="58"/>
      <c r="I73" s="29"/>
      <c r="J73" s="29"/>
      <c r="K73" s="740" t="s">
        <v>70</v>
      </c>
      <c r="L73" s="741"/>
      <c r="M73" s="741"/>
      <c r="N73" s="19"/>
    </row>
    <row r="74" spans="1:14" ht="15.75" hidden="1" thickBot="1" x14ac:dyDescent="0.3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.75" hidden="1" thickBot="1" x14ac:dyDescent="0.3">
      <c r="A75" s="742" t="s">
        <v>94</v>
      </c>
      <c r="B75" s="743"/>
      <c r="C75" s="743"/>
      <c r="D75" s="743"/>
      <c r="E75" s="744"/>
      <c r="F75" s="745" t="s">
        <v>95</v>
      </c>
      <c r="G75" s="746"/>
      <c r="H75" s="746"/>
      <c r="I75" s="746"/>
      <c r="J75" s="747"/>
      <c r="K75" s="748"/>
      <c r="L75" s="748"/>
      <c r="M75" s="749"/>
      <c r="N75" s="750"/>
    </row>
    <row r="76" spans="1:14" hidden="1" x14ac:dyDescent="0.25">
      <c r="A76" s="698" t="s">
        <v>96</v>
      </c>
      <c r="B76" s="751"/>
      <c r="C76" s="751"/>
      <c r="D76" s="752"/>
      <c r="E76" s="84"/>
      <c r="F76" s="85" t="s">
        <v>97</v>
      </c>
      <c r="G76" s="86"/>
      <c r="H76" s="87" t="s">
        <v>98</v>
      </c>
      <c r="I76" s="88" t="s">
        <v>99</v>
      </c>
      <c r="J76" s="89"/>
      <c r="K76" s="89"/>
      <c r="L76" s="90"/>
      <c r="M76" s="91" t="s">
        <v>100</v>
      </c>
      <c r="N76" s="92">
        <v>30</v>
      </c>
    </row>
    <row r="77" spans="1:14" ht="15.75" hidden="1" thickBot="1" x14ac:dyDescent="0.3">
      <c r="A77" s="753" t="s">
        <v>101</v>
      </c>
      <c r="B77" s="754"/>
      <c r="C77" s="754"/>
      <c r="D77" s="755"/>
      <c r="E77" s="93"/>
      <c r="F77" s="94" t="s">
        <v>102</v>
      </c>
      <c r="G77" s="95"/>
      <c r="H77" s="96">
        <v>1</v>
      </c>
      <c r="I77" s="97" t="s">
        <v>103</v>
      </c>
      <c r="J77" s="98"/>
      <c r="K77" s="99"/>
      <c r="L77" s="98"/>
      <c r="M77" s="100"/>
      <c r="N77" s="101"/>
    </row>
    <row r="78" spans="1:14" x14ac:dyDescent="0.25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25">
      <c r="A79" s="726" t="s">
        <v>139</v>
      </c>
      <c r="B79" s="727"/>
      <c r="C79" s="727"/>
      <c r="D79" s="727"/>
      <c r="E79" s="727"/>
      <c r="F79" s="727"/>
      <c r="G79" s="727"/>
      <c r="H79" s="727"/>
      <c r="I79" s="727"/>
      <c r="J79" s="727"/>
      <c r="K79" s="727"/>
      <c r="L79" s="149">
        <v>1.4</v>
      </c>
      <c r="M79" s="728"/>
      <c r="N79" s="728"/>
    </row>
    <row r="80" spans="1:14" ht="15.75" thickBot="1" x14ac:dyDescent="0.3">
      <c r="A80" s="729" t="s">
        <v>140</v>
      </c>
      <c r="B80" s="730"/>
      <c r="C80" s="730"/>
      <c r="D80" s="730"/>
      <c r="E80" s="730"/>
      <c r="F80" s="730"/>
      <c r="G80" s="731"/>
      <c r="H80" s="732" t="s">
        <v>141</v>
      </c>
      <c r="I80" s="733"/>
      <c r="J80" s="733"/>
      <c r="K80" s="733"/>
      <c r="L80" s="103">
        <v>140</v>
      </c>
      <c r="M80" s="102" t="s">
        <v>110</v>
      </c>
      <c r="N80" s="103"/>
    </row>
    <row r="81" spans="1:14" ht="15.75" thickBot="1" x14ac:dyDescent="0.3">
      <c r="A81" s="734" t="s">
        <v>134</v>
      </c>
      <c r="B81" s="735"/>
      <c r="C81" s="735"/>
      <c r="D81" s="735"/>
      <c r="E81" s="735"/>
      <c r="F81" s="735"/>
      <c r="G81" s="736"/>
      <c r="H81" s="734" t="s">
        <v>136</v>
      </c>
      <c r="I81" s="735"/>
      <c r="J81" s="735"/>
      <c r="K81" s="735"/>
      <c r="L81" s="735"/>
      <c r="M81" s="735"/>
      <c r="N81" s="737"/>
    </row>
    <row r="82" spans="1:14" x14ac:dyDescent="0.25">
      <c r="A82" s="702" t="s">
        <v>135</v>
      </c>
      <c r="B82" s="703"/>
      <c r="C82" s="703"/>
      <c r="D82" s="703"/>
      <c r="E82" s="704"/>
      <c r="F82" s="104">
        <v>0</v>
      </c>
      <c r="G82" s="105"/>
      <c r="H82" s="705" t="s">
        <v>137</v>
      </c>
      <c r="I82" s="706"/>
      <c r="J82" s="706"/>
      <c r="K82" s="706"/>
      <c r="L82" s="706"/>
      <c r="M82" s="707"/>
      <c r="N82" s="106"/>
    </row>
    <row r="83" spans="1:14" ht="15.75" thickBot="1" x14ac:dyDescent="0.3">
      <c r="A83" s="708"/>
      <c r="B83" s="709"/>
      <c r="C83" s="709"/>
      <c r="D83" s="709"/>
      <c r="E83" s="710"/>
      <c r="F83" s="107"/>
      <c r="G83" s="68"/>
      <c r="H83" s="108" t="s">
        <v>138</v>
      </c>
      <c r="I83" s="68"/>
      <c r="J83" s="68"/>
      <c r="K83" s="68"/>
      <c r="L83" s="68"/>
      <c r="M83" s="109"/>
      <c r="N83" s="110">
        <f>J15</f>
        <v>70</v>
      </c>
    </row>
    <row r="84" spans="1:14" x14ac:dyDescent="0.25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 t="s">
        <v>105</v>
      </c>
    </row>
    <row r="85" spans="1:14" ht="15.75" thickBot="1" x14ac:dyDescent="0.3">
      <c r="A85" s="111" t="s">
        <v>142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25">
      <c r="A86" s="711" t="s">
        <v>143</v>
      </c>
      <c r="B86" s="712"/>
      <c r="C86" s="712"/>
      <c r="D86" s="712"/>
      <c r="E86" s="713"/>
      <c r="F86" s="717" t="s">
        <v>144</v>
      </c>
      <c r="G86" s="718"/>
      <c r="H86" s="718"/>
      <c r="I86" s="718"/>
      <c r="J86" s="719"/>
      <c r="K86" s="720"/>
      <c r="L86" s="20"/>
      <c r="M86" s="20"/>
      <c r="N86" s="14"/>
    </row>
    <row r="87" spans="1:14" ht="15.75" thickBot="1" x14ac:dyDescent="0.3">
      <c r="A87" s="714"/>
      <c r="B87" s="715"/>
      <c r="C87" s="715"/>
      <c r="D87" s="715"/>
      <c r="E87" s="716"/>
      <c r="F87" s="721" t="s">
        <v>148</v>
      </c>
      <c r="G87" s="722"/>
      <c r="H87" s="723" t="s">
        <v>149</v>
      </c>
      <c r="I87" s="724"/>
      <c r="J87" s="724"/>
      <c r="K87" s="725"/>
      <c r="L87" s="20"/>
      <c r="M87" s="20"/>
      <c r="N87" s="14"/>
    </row>
    <row r="88" spans="1:14" x14ac:dyDescent="0.25">
      <c r="A88" s="698" t="s">
        <v>145</v>
      </c>
      <c r="B88" s="699"/>
      <c r="C88" s="699"/>
      <c r="D88" s="699"/>
      <c r="E88" s="699"/>
      <c r="F88" s="700"/>
      <c r="G88" s="700"/>
      <c r="H88" s="700"/>
      <c r="I88" s="700"/>
      <c r="J88" s="700"/>
      <c r="K88" s="701"/>
      <c r="L88" s="20"/>
      <c r="M88" s="20"/>
      <c r="N88" s="14"/>
    </row>
    <row r="89" spans="1:14" x14ac:dyDescent="0.25">
      <c r="A89" s="695" t="s">
        <v>146</v>
      </c>
      <c r="B89" s="686"/>
      <c r="C89" s="686"/>
      <c r="D89" s="686"/>
      <c r="E89" s="686"/>
      <c r="F89" s="696"/>
      <c r="G89" s="696"/>
      <c r="H89" s="696"/>
      <c r="I89" s="696"/>
      <c r="J89" s="696"/>
      <c r="K89" s="697"/>
      <c r="L89" s="20"/>
      <c r="M89" s="20"/>
      <c r="N89" s="14"/>
    </row>
    <row r="90" spans="1:14" x14ac:dyDescent="0.25">
      <c r="A90" s="695" t="s">
        <v>147</v>
      </c>
      <c r="B90" s="686"/>
      <c r="C90" s="686"/>
      <c r="D90" s="686"/>
      <c r="E90" s="686"/>
      <c r="F90" s="696"/>
      <c r="G90" s="696"/>
      <c r="H90" s="696"/>
      <c r="I90" s="696"/>
      <c r="J90" s="696"/>
      <c r="K90" s="697"/>
      <c r="L90" s="20"/>
      <c r="M90" s="20"/>
      <c r="N90" s="14"/>
    </row>
    <row r="91" spans="1:14" x14ac:dyDescent="0.25">
      <c r="A91" s="20"/>
      <c r="B91" s="20"/>
      <c r="C91" s="20"/>
      <c r="D91" s="20"/>
      <c r="E91" s="20"/>
      <c r="F91" s="617"/>
      <c r="G91" s="617"/>
      <c r="H91" s="617"/>
      <c r="I91" s="617"/>
      <c r="J91" s="617"/>
      <c r="K91" s="617"/>
      <c r="L91" s="20"/>
      <c r="M91" s="20"/>
      <c r="N91" s="14"/>
    </row>
    <row r="92" spans="1:14" x14ac:dyDescent="0.25">
      <c r="A92" s="20"/>
      <c r="B92" s="20"/>
      <c r="C92" s="20"/>
      <c r="D92" s="20"/>
      <c r="E92" s="20"/>
      <c r="F92" s="617"/>
      <c r="G92" s="617"/>
      <c r="H92" s="617"/>
      <c r="I92" s="617"/>
      <c r="J92" s="617"/>
      <c r="K92" s="617"/>
      <c r="L92" s="20"/>
      <c r="M92" s="20"/>
      <c r="N92" s="14"/>
    </row>
    <row r="93" spans="1:14" x14ac:dyDescent="0.25">
      <c r="A93" s="20"/>
      <c r="B93" s="20"/>
      <c r="C93" s="20"/>
      <c r="D93" s="20"/>
      <c r="E93" s="20"/>
      <c r="F93" s="617"/>
      <c r="G93" s="617"/>
      <c r="H93" s="617"/>
      <c r="I93" s="617"/>
      <c r="J93" s="617"/>
      <c r="K93" s="617"/>
      <c r="L93" s="20"/>
      <c r="M93" s="20"/>
      <c r="N93" s="14"/>
    </row>
    <row r="94" spans="1:14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25">
      <c r="A95" s="111" t="s">
        <v>150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25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25">
      <c r="A97" s="689" t="s">
        <v>151</v>
      </c>
      <c r="B97" s="690"/>
      <c r="C97" s="690"/>
      <c r="D97" s="690"/>
      <c r="E97" s="690"/>
      <c r="F97" s="690"/>
      <c r="G97" s="690"/>
      <c r="H97" s="690"/>
      <c r="I97" s="691"/>
      <c r="J97" s="691"/>
      <c r="K97" s="691"/>
      <c r="L97" s="692"/>
      <c r="M97" s="693" t="s">
        <v>152</v>
      </c>
      <c r="N97" s="694"/>
    </row>
    <row r="98" spans="1:14" x14ac:dyDescent="0.25">
      <c r="A98" s="58" t="s">
        <v>153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685">
        <v>0.1075</v>
      </c>
      <c r="N98" s="685"/>
    </row>
    <row r="99" spans="1:14" x14ac:dyDescent="0.25">
      <c r="A99" s="686" t="s">
        <v>154</v>
      </c>
      <c r="B99" s="687"/>
      <c r="C99" s="687"/>
      <c r="D99" s="687"/>
      <c r="E99" s="687"/>
      <c r="F99" s="687"/>
      <c r="G99" s="687"/>
      <c r="H99" s="687"/>
      <c r="I99" s="687"/>
      <c r="J99" s="687"/>
      <c r="K99" s="687"/>
      <c r="L99" s="687"/>
      <c r="M99" s="688"/>
      <c r="N99" s="688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5">
      <c r="A102" s="16"/>
      <c r="B102" s="16"/>
      <c r="C102" s="16"/>
      <c r="D102" s="16" t="s">
        <v>104</v>
      </c>
      <c r="E102" s="16"/>
      <c r="F102" s="16"/>
      <c r="G102" s="684" t="s">
        <v>105</v>
      </c>
      <c r="H102" s="684"/>
      <c r="I102" s="684"/>
      <c r="J102" s="679"/>
      <c r="K102" s="679"/>
      <c r="L102" s="679"/>
      <c r="M102" s="679"/>
      <c r="N102" s="16"/>
    </row>
    <row r="103" spans="1:14" x14ac:dyDescent="0.25">
      <c r="A103" s="16"/>
      <c r="B103" s="16"/>
      <c r="C103" s="16"/>
      <c r="D103" s="16" t="s">
        <v>106</v>
      </c>
      <c r="E103" s="16"/>
      <c r="F103" s="16"/>
      <c r="G103" s="678"/>
      <c r="H103" s="678"/>
      <c r="I103" s="678"/>
      <c r="J103" s="679"/>
      <c r="K103" s="679"/>
      <c r="L103" s="679"/>
      <c r="M103" s="679"/>
      <c r="N103" s="16"/>
    </row>
  </sheetData>
  <mergeCells count="184"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51" zoomScale="60" zoomScaleNormal="100" workbookViewId="0">
      <selection activeCell="I118" sqref="I118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65" t="str">
        <f>CONCATENATE(кошторис!B6)</f>
        <v>м. КанівГероїв Дніпра7</v>
      </c>
      <c r="B1" s="1166"/>
      <c r="C1" s="1166"/>
      <c r="D1" s="926"/>
      <c r="E1" s="926"/>
      <c r="H1" s="1167" t="s">
        <v>209</v>
      </c>
      <c r="I1" s="1167"/>
      <c r="J1" s="1167"/>
      <c r="K1" s="1167"/>
    </row>
    <row r="2" spans="1:11" x14ac:dyDescent="0.25">
      <c r="H2" s="1167" t="str">
        <f>прибирання!G2</f>
        <v xml:space="preserve">директор </v>
      </c>
      <c r="I2" s="1167"/>
      <c r="J2" s="1167"/>
      <c r="K2" s="1167"/>
    </row>
    <row r="3" spans="1:11" x14ac:dyDescent="0.25">
      <c r="H3" s="1171" t="s">
        <v>629</v>
      </c>
      <c r="I3" s="1171"/>
      <c r="J3" s="1171"/>
      <c r="K3" s="1171"/>
    </row>
    <row r="4" spans="1:11" x14ac:dyDescent="0.25">
      <c r="H4" s="252"/>
      <c r="I4" s="253"/>
      <c r="J4" s="1168" t="s">
        <v>288</v>
      </c>
      <c r="K4" s="1168"/>
    </row>
    <row r="6" spans="1:11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1" ht="43.15" customHeight="1" x14ac:dyDescent="0.25">
      <c r="A7" s="1358" t="s">
        <v>909</v>
      </c>
      <c r="B7" s="1358"/>
      <c r="C7" s="1358"/>
      <c r="D7" s="1358"/>
      <c r="E7" s="1358"/>
      <c r="F7" s="1358"/>
      <c r="G7" s="1358"/>
      <c r="H7" s="1358"/>
      <c r="I7" s="1358"/>
      <c r="J7" s="1358"/>
      <c r="K7" s="1358"/>
    </row>
    <row r="8" spans="1:11" x14ac:dyDescent="0.25">
      <c r="A8" s="1359" t="s">
        <v>630</v>
      </c>
      <c r="B8" s="1359"/>
      <c r="C8" s="1359"/>
      <c r="D8" s="1359"/>
      <c r="E8" s="1359"/>
      <c r="F8" s="1359"/>
      <c r="G8" s="1359"/>
      <c r="H8" s="1359"/>
      <c r="I8" s="1359"/>
      <c r="J8" s="1359"/>
      <c r="K8" s="1359"/>
    </row>
    <row r="9" spans="1:11" ht="25.5" x14ac:dyDescent="0.25">
      <c r="A9" s="184" t="s">
        <v>225</v>
      </c>
      <c r="B9" s="1162" t="s">
        <v>212</v>
      </c>
      <c r="C9" s="1163"/>
      <c r="D9" s="1163"/>
      <c r="E9" s="1163"/>
      <c r="F9" s="1163"/>
      <c r="G9" s="184" t="s">
        <v>213</v>
      </c>
      <c r="H9" s="1162" t="s">
        <v>214</v>
      </c>
      <c r="I9" s="1163"/>
      <c r="J9" s="1356" t="s">
        <v>496</v>
      </c>
      <c r="K9" s="1357"/>
    </row>
    <row r="10" spans="1:11" ht="16.149999999999999" customHeight="1" x14ac:dyDescent="0.25">
      <c r="A10" s="184">
        <v>1</v>
      </c>
      <c r="B10" s="1172" t="s">
        <v>631</v>
      </c>
      <c r="C10" s="1151"/>
      <c r="D10" s="1151"/>
      <c r="E10" s="1151"/>
      <c r="F10" s="1151"/>
      <c r="G10" s="261" t="s">
        <v>177</v>
      </c>
      <c r="H10" s="1174">
        <f t="shared" ref="H10:H15" si="0">J10*12</f>
        <v>11673.669634640559</v>
      </c>
      <c r="I10" s="1175"/>
      <c r="J10" s="1174">
        <f>J117+J118</f>
        <v>972.80580288671331</v>
      </c>
      <c r="K10" s="1176"/>
    </row>
    <row r="11" spans="1:11" ht="32.450000000000003" customHeight="1" x14ac:dyDescent="0.25">
      <c r="A11" s="184">
        <v>2</v>
      </c>
      <c r="B11" s="1177" t="s">
        <v>632</v>
      </c>
      <c r="C11" s="1178"/>
      <c r="D11" s="1178"/>
      <c r="E11" s="1178"/>
      <c r="F11" s="1178"/>
      <c r="G11" s="261" t="s">
        <v>177</v>
      </c>
      <c r="H11" s="1174">
        <f t="shared" si="0"/>
        <v>2568.207319620923</v>
      </c>
      <c r="I11" s="1175"/>
      <c r="J11" s="1174">
        <f>J10*розрахунок!D13/100</f>
        <v>214.01727663507691</v>
      </c>
      <c r="K11" s="1176"/>
    </row>
    <row r="12" spans="1:11" x14ac:dyDescent="0.25">
      <c r="A12" s="184">
        <v>3</v>
      </c>
      <c r="B12" s="1172" t="s">
        <v>495</v>
      </c>
      <c r="C12" s="1173"/>
      <c r="D12" s="1173"/>
      <c r="E12" s="1173"/>
      <c r="F12" s="1173"/>
      <c r="G12" s="261" t="s">
        <v>177</v>
      </c>
      <c r="H12" s="1174">
        <f t="shared" si="0"/>
        <v>17035.435453122656</v>
      </c>
      <c r="I12" s="1175"/>
      <c r="J12" s="1174">
        <f>K125</f>
        <v>1419.6196210935545</v>
      </c>
      <c r="K12" s="1176"/>
    </row>
    <row r="13" spans="1:11" x14ac:dyDescent="0.25">
      <c r="A13" s="184">
        <v>4</v>
      </c>
      <c r="B13" s="1172" t="s">
        <v>633</v>
      </c>
      <c r="C13" s="1173"/>
      <c r="D13" s="1173"/>
      <c r="E13" s="1173"/>
      <c r="F13" s="1173"/>
      <c r="G13" s="261" t="s">
        <v>177</v>
      </c>
      <c r="H13" s="1174">
        <f t="shared" si="0"/>
        <v>8240.0399999999991</v>
      </c>
      <c r="I13" s="1175"/>
      <c r="J13" s="1174">
        <f>ROUND(інвентар!I10+інвентар!I11+H140+I143,2)</f>
        <v>686.67</v>
      </c>
      <c r="K13" s="1176"/>
    </row>
    <row r="14" spans="1:11" x14ac:dyDescent="0.25">
      <c r="A14" s="184">
        <v>5</v>
      </c>
      <c r="B14" s="1172" t="s">
        <v>482</v>
      </c>
      <c r="C14" s="1173"/>
      <c r="D14" s="1173"/>
      <c r="E14" s="1173"/>
      <c r="F14" s="1173"/>
      <c r="G14" s="261" t="s">
        <v>177</v>
      </c>
      <c r="H14" s="1174">
        <f t="shared" si="0"/>
        <v>0</v>
      </c>
      <c r="I14" s="1175"/>
      <c r="J14" s="1179">
        <v>0</v>
      </c>
      <c r="K14" s="1180"/>
    </row>
    <row r="15" spans="1:11" ht="16.149999999999999" customHeight="1" x14ac:dyDescent="0.25">
      <c r="A15" s="184">
        <v>6</v>
      </c>
      <c r="B15" s="1261" t="s">
        <v>497</v>
      </c>
      <c r="C15" s="1366"/>
      <c r="D15" s="1366"/>
      <c r="E15" s="1366"/>
      <c r="F15" s="1367"/>
      <c r="G15" s="261" t="s">
        <v>177</v>
      </c>
      <c r="H15" s="1174">
        <f t="shared" si="0"/>
        <v>26962.68</v>
      </c>
      <c r="I15" s="1175"/>
      <c r="J15" s="1179">
        <f>ROUND(розрахунок!D25*Характеристика!N18,2)</f>
        <v>2246.89</v>
      </c>
      <c r="K15" s="1368"/>
    </row>
    <row r="16" spans="1:11" ht="15.6" customHeight="1" x14ac:dyDescent="0.25">
      <c r="A16" s="184">
        <v>7</v>
      </c>
      <c r="B16" s="1181" t="s">
        <v>216</v>
      </c>
      <c r="C16" s="1182"/>
      <c r="D16" s="1182"/>
      <c r="E16" s="1182"/>
      <c r="F16" s="1182"/>
      <c r="G16" s="184" t="s">
        <v>177</v>
      </c>
      <c r="H16" s="1183">
        <f>SUM(H10:H15)</f>
        <v>66480.032407384133</v>
      </c>
      <c r="I16" s="1184"/>
      <c r="J16" s="1183">
        <f>SUM(J10:J15)</f>
        <v>5540.002700615345</v>
      </c>
      <c r="K16" s="1184"/>
    </row>
    <row r="17" spans="1:11" x14ac:dyDescent="0.25">
      <c r="A17" s="184">
        <v>8</v>
      </c>
      <c r="B17" s="1353" t="s">
        <v>119</v>
      </c>
      <c r="C17" s="1354"/>
      <c r="D17" s="1354"/>
      <c r="E17" s="1354"/>
      <c r="F17" s="1354"/>
      <c r="G17" s="261" t="s">
        <v>218</v>
      </c>
      <c r="H17" s="1179">
        <f>Характеристика!N18</f>
        <v>2981.4</v>
      </c>
      <c r="I17" s="1355"/>
      <c r="J17" s="1355"/>
      <c r="K17" s="1260"/>
    </row>
    <row r="18" spans="1:11" x14ac:dyDescent="0.25">
      <c r="A18" s="184">
        <v>9</v>
      </c>
      <c r="B18" s="1181" t="s">
        <v>493</v>
      </c>
      <c r="C18" s="1163"/>
      <c r="D18" s="1163"/>
      <c r="E18" s="1163"/>
      <c r="F18" s="1163"/>
      <c r="G18" s="184" t="s">
        <v>177</v>
      </c>
      <c r="H18" s="591"/>
      <c r="I18" s="592"/>
      <c r="J18" s="510"/>
      <c r="K18" s="593">
        <f>J16/H17</f>
        <v>1.8581883345459667</v>
      </c>
    </row>
    <row r="19" spans="1:11" x14ac:dyDescent="0.25">
      <c r="A19" s="429"/>
      <c r="B19" s="430"/>
      <c r="C19" s="431"/>
      <c r="D19" s="431"/>
      <c r="E19" s="431"/>
      <c r="F19" s="431"/>
      <c r="G19" s="429"/>
      <c r="H19" s="432"/>
      <c r="I19" s="432"/>
      <c r="J19" s="433"/>
      <c r="K19" s="433"/>
    </row>
    <row r="20" spans="1:11" x14ac:dyDescent="0.25">
      <c r="A20" s="1344" t="s">
        <v>498</v>
      </c>
      <c r="B20" s="1345"/>
      <c r="C20" s="1345"/>
      <c r="D20" s="1345"/>
      <c r="E20" s="1345"/>
      <c r="F20" s="1345"/>
      <c r="G20" s="1345"/>
      <c r="H20" s="1345"/>
      <c r="I20" s="1345"/>
      <c r="J20" s="1345"/>
      <c r="K20" s="1345"/>
    </row>
    <row r="21" spans="1:11" ht="39" customHeight="1" x14ac:dyDescent="0.25">
      <c r="A21" s="1346" t="s">
        <v>762</v>
      </c>
      <c r="B21" s="1347"/>
      <c r="C21" s="1347"/>
      <c r="D21" s="1347"/>
      <c r="E21" s="1347"/>
      <c r="F21" s="1347"/>
      <c r="G21" s="1347"/>
      <c r="H21" s="1347"/>
      <c r="I21" s="1347"/>
      <c r="J21" s="1347"/>
      <c r="K21" s="1347"/>
    </row>
    <row r="22" spans="1:11" ht="30" customHeight="1" x14ac:dyDescent="0.25">
      <c r="A22" s="1348" t="s">
        <v>499</v>
      </c>
      <c r="B22" s="1349"/>
      <c r="C22" s="1349"/>
      <c r="D22" s="1349"/>
      <c r="E22" s="1349"/>
      <c r="F22" s="1349"/>
      <c r="G22" s="1349"/>
      <c r="H22" s="1349"/>
      <c r="I22" s="1349"/>
      <c r="J22" s="1349"/>
      <c r="K22" s="1349"/>
    </row>
    <row r="23" spans="1:11" x14ac:dyDescent="0.25">
      <c r="A23" s="1350" t="str">
        <f>CONCATENATE("Річний фонт робочого часу на ",[1]Расчет!C28," рік")</f>
        <v>Річний фонт робочого часу на  рік</v>
      </c>
      <c r="B23" s="1351"/>
      <c r="C23" s="1351"/>
      <c r="D23" s="1351"/>
      <c r="E23" s="1351"/>
      <c r="F23" s="1352" t="s">
        <v>500</v>
      </c>
      <c r="G23" s="1352"/>
      <c r="H23" s="434">
        <f>розрахунок!D17</f>
        <v>251</v>
      </c>
      <c r="I23" s="1352" t="s">
        <v>174</v>
      </c>
      <c r="J23" s="1352"/>
      <c r="K23" s="434">
        <f>розрахунок!D19</f>
        <v>2002</v>
      </c>
    </row>
    <row r="24" spans="1:11" x14ac:dyDescent="0.25">
      <c r="A24" s="1245" t="s">
        <v>823</v>
      </c>
      <c r="B24" s="1360"/>
      <c r="C24" s="1360"/>
      <c r="D24" s="1360"/>
      <c r="E24" s="1360"/>
      <c r="F24" s="1360"/>
      <c r="G24" s="1360"/>
      <c r="H24" s="1360"/>
      <c r="I24" s="1360"/>
      <c r="J24" s="1360"/>
      <c r="K24" s="1361"/>
    </row>
    <row r="25" spans="1:11" ht="123.75" x14ac:dyDescent="0.25">
      <c r="A25" s="193" t="s">
        <v>225</v>
      </c>
      <c r="B25" s="1216" t="s">
        <v>226</v>
      </c>
      <c r="C25" s="1217"/>
      <c r="D25" s="413" t="s">
        <v>322</v>
      </c>
      <c r="E25" s="194" t="s">
        <v>501</v>
      </c>
      <c r="F25" s="195" t="s">
        <v>502</v>
      </c>
      <c r="G25" s="1218" t="s">
        <v>503</v>
      </c>
      <c r="H25" s="1217"/>
      <c r="I25" s="196" t="s">
        <v>504</v>
      </c>
      <c r="J25" s="197" t="s">
        <v>231</v>
      </c>
      <c r="K25" s="197" t="s">
        <v>232</v>
      </c>
    </row>
    <row r="26" spans="1:11" x14ac:dyDescent="0.25">
      <c r="A26" s="435">
        <v>1</v>
      </c>
      <c r="B26" s="1340">
        <v>2</v>
      </c>
      <c r="C26" s="1341"/>
      <c r="D26" s="436">
        <v>3</v>
      </c>
      <c r="E26" s="437">
        <v>4</v>
      </c>
      <c r="F26" s="437">
        <v>5</v>
      </c>
      <c r="G26" s="1342">
        <v>6</v>
      </c>
      <c r="H26" s="1343"/>
      <c r="I26" s="437">
        <v>7</v>
      </c>
      <c r="J26" s="437">
        <v>8</v>
      </c>
      <c r="K26" s="438">
        <v>9</v>
      </c>
    </row>
    <row r="27" spans="1:11" x14ac:dyDescent="0.25">
      <c r="A27" s="231">
        <v>1</v>
      </c>
      <c r="B27" s="1290" t="s">
        <v>505</v>
      </c>
      <c r="C27" s="1243"/>
      <c r="D27" s="1243"/>
      <c r="E27" s="1243"/>
      <c r="F27" s="1243"/>
      <c r="G27" s="1243"/>
      <c r="H27" s="1244"/>
      <c r="I27" s="439"/>
      <c r="J27" s="439"/>
      <c r="K27" s="439"/>
    </row>
    <row r="28" spans="1:11" ht="22.9" customHeight="1" x14ac:dyDescent="0.25">
      <c r="A28" s="259" t="s">
        <v>223</v>
      </c>
      <c r="B28" s="1294" t="s">
        <v>506</v>
      </c>
      <c r="C28" s="1295"/>
      <c r="D28" s="440" t="s">
        <v>507</v>
      </c>
      <c r="E28" s="243">
        <v>233</v>
      </c>
      <c r="F28" s="256">
        <v>2</v>
      </c>
      <c r="G28" s="1298">
        <v>1.2</v>
      </c>
      <c r="H28" s="1298"/>
      <c r="I28" s="254">
        <f>E28/100*F28*G28</f>
        <v>5.5919999999999996</v>
      </c>
      <c r="J28" s="233">
        <v>75</v>
      </c>
      <c r="K28" s="233" t="s">
        <v>508</v>
      </c>
    </row>
    <row r="29" spans="1:11" ht="25.15" customHeight="1" x14ac:dyDescent="0.25">
      <c r="A29" s="259" t="s">
        <v>509</v>
      </c>
      <c r="B29" s="1294" t="s">
        <v>510</v>
      </c>
      <c r="C29" s="1295"/>
      <c r="D29" s="440" t="s">
        <v>507</v>
      </c>
      <c r="E29" s="243">
        <v>370</v>
      </c>
      <c r="F29" s="256">
        <v>1</v>
      </c>
      <c r="G29" s="1298">
        <v>1.2</v>
      </c>
      <c r="H29" s="1298"/>
      <c r="I29" s="254">
        <f>E29/100*F29*G29</f>
        <v>4.4400000000000004</v>
      </c>
      <c r="J29" s="233">
        <v>75</v>
      </c>
      <c r="K29" s="233" t="s">
        <v>508</v>
      </c>
    </row>
    <row r="30" spans="1:11" ht="33.6" customHeight="1" x14ac:dyDescent="0.25">
      <c r="A30" s="259" t="s">
        <v>512</v>
      </c>
      <c r="B30" s="1294" t="s">
        <v>513</v>
      </c>
      <c r="C30" s="1295"/>
      <c r="D30" s="440" t="s">
        <v>511</v>
      </c>
      <c r="E30" s="243">
        <f>48-4</f>
        <v>44</v>
      </c>
      <c r="F30" s="256">
        <v>2</v>
      </c>
      <c r="G30" s="1298">
        <v>8.8000000000000007</v>
      </c>
      <c r="H30" s="1298"/>
      <c r="I30" s="254">
        <f>E30/100*F30*G30</f>
        <v>7.7440000000000007</v>
      </c>
      <c r="J30" s="233">
        <v>78</v>
      </c>
      <c r="K30" s="233" t="s">
        <v>514</v>
      </c>
    </row>
    <row r="31" spans="1:11" ht="23.45" customHeight="1" x14ac:dyDescent="0.25">
      <c r="A31" s="259" t="s">
        <v>515</v>
      </c>
      <c r="B31" s="1294" t="s">
        <v>516</v>
      </c>
      <c r="C31" s="1295"/>
      <c r="D31" s="440" t="s">
        <v>507</v>
      </c>
      <c r="E31" s="243">
        <v>470</v>
      </c>
      <c r="F31" s="256">
        <v>2</v>
      </c>
      <c r="G31" s="1298">
        <v>2.2000000000000002</v>
      </c>
      <c r="H31" s="1298"/>
      <c r="I31" s="254">
        <f>E31/100*F31*G31</f>
        <v>20.680000000000003</v>
      </c>
      <c r="J31" s="233">
        <v>79</v>
      </c>
      <c r="K31" s="233" t="s">
        <v>517</v>
      </c>
    </row>
    <row r="32" spans="1:11" x14ac:dyDescent="0.25">
      <c r="A32" s="259" t="s">
        <v>518</v>
      </c>
      <c r="B32" s="1290" t="s">
        <v>519</v>
      </c>
      <c r="C32" s="1243"/>
      <c r="D32" s="1243"/>
      <c r="E32" s="1243"/>
      <c r="F32" s="1243"/>
      <c r="G32" s="1243"/>
      <c r="H32" s="1244"/>
      <c r="I32" s="441"/>
      <c r="J32" s="442"/>
      <c r="K32" s="174"/>
    </row>
    <row r="33" spans="1:11" x14ac:dyDescent="0.25">
      <c r="A33" s="259" t="s">
        <v>520</v>
      </c>
      <c r="B33" s="1290" t="s">
        <v>521</v>
      </c>
      <c r="C33" s="1291"/>
      <c r="D33" s="1292"/>
      <c r="E33" s="1292"/>
      <c r="F33" s="1292"/>
      <c r="G33" s="1292"/>
      <c r="H33" s="1293"/>
      <c r="I33" s="254"/>
      <c r="J33" s="233"/>
      <c r="K33" s="233"/>
    </row>
    <row r="34" spans="1:11" ht="25.9" customHeight="1" x14ac:dyDescent="0.25">
      <c r="A34" s="259" t="s">
        <v>522</v>
      </c>
      <c r="B34" s="1339" t="s">
        <v>523</v>
      </c>
      <c r="C34" s="1339"/>
      <c r="D34" s="440" t="s">
        <v>507</v>
      </c>
      <c r="E34" s="257">
        <v>880</v>
      </c>
      <c r="F34" s="410">
        <v>1</v>
      </c>
      <c r="G34" s="1241">
        <v>0.48</v>
      </c>
      <c r="H34" s="1241"/>
      <c r="I34" s="254">
        <f>E34*F34/100*G34</f>
        <v>4.2240000000000002</v>
      </c>
      <c r="J34" s="233">
        <v>81</v>
      </c>
      <c r="K34" s="233" t="s">
        <v>524</v>
      </c>
    </row>
    <row r="35" spans="1:11" ht="27.6" customHeight="1" x14ac:dyDescent="0.25">
      <c r="A35" s="259" t="s">
        <v>525</v>
      </c>
      <c r="B35" s="1339" t="s">
        <v>526</v>
      </c>
      <c r="C35" s="1339"/>
      <c r="D35" s="440" t="s">
        <v>507</v>
      </c>
      <c r="E35" s="257">
        <v>880</v>
      </c>
      <c r="F35" s="410">
        <v>1</v>
      </c>
      <c r="G35" s="1241">
        <v>1.73</v>
      </c>
      <c r="H35" s="1241"/>
      <c r="I35" s="254">
        <f>E35*F35/100*G35</f>
        <v>15.224</v>
      </c>
      <c r="J35" s="233">
        <v>81</v>
      </c>
      <c r="K35" s="233" t="s">
        <v>527</v>
      </c>
    </row>
    <row r="36" spans="1:11" ht="24" customHeight="1" x14ac:dyDescent="0.25">
      <c r="A36" s="259" t="s">
        <v>528</v>
      </c>
      <c r="B36" s="1294" t="s">
        <v>529</v>
      </c>
      <c r="C36" s="1295"/>
      <c r="D36" s="440" t="s">
        <v>507</v>
      </c>
      <c r="E36" s="243">
        <v>880</v>
      </c>
      <c r="F36" s="256">
        <v>1</v>
      </c>
      <c r="G36" s="1298">
        <v>2.2000000000000002</v>
      </c>
      <c r="H36" s="1298"/>
      <c r="I36" s="254">
        <f>E36/100*F36*G36</f>
        <v>19.360000000000003</v>
      </c>
      <c r="J36" s="233">
        <v>82</v>
      </c>
      <c r="K36" s="233" t="s">
        <v>530</v>
      </c>
    </row>
    <row r="37" spans="1:11" ht="16.899999999999999" customHeight="1" x14ac:dyDescent="0.25">
      <c r="A37" s="259" t="s">
        <v>531</v>
      </c>
      <c r="B37" s="1294" t="s">
        <v>532</v>
      </c>
      <c r="C37" s="1295"/>
      <c r="D37" s="440" t="s">
        <v>533</v>
      </c>
      <c r="E37" s="243">
        <v>2</v>
      </c>
      <c r="F37" s="256">
        <v>1</v>
      </c>
      <c r="G37" s="1298">
        <v>1.5</v>
      </c>
      <c r="H37" s="1298"/>
      <c r="I37" s="254">
        <f>E37*F37*G37</f>
        <v>3</v>
      </c>
      <c r="J37" s="233">
        <v>82</v>
      </c>
      <c r="K37" s="233" t="s">
        <v>534</v>
      </c>
    </row>
    <row r="38" spans="1:11" ht="26.45" hidden="1" customHeight="1" x14ac:dyDescent="0.25">
      <c r="A38" s="259"/>
      <c r="B38" s="1294" t="s">
        <v>535</v>
      </c>
      <c r="C38" s="1295"/>
      <c r="D38" s="440" t="s">
        <v>164</v>
      </c>
      <c r="E38" s="243">
        <f>[1]Таблица_Характеристика!M77*0</f>
        <v>0</v>
      </c>
      <c r="F38" s="256">
        <v>1</v>
      </c>
      <c r="G38" s="1298">
        <v>1.2</v>
      </c>
      <c r="H38" s="1298"/>
      <c r="I38" s="254">
        <f>E38*F38*G38</f>
        <v>0</v>
      </c>
      <c r="J38" s="233">
        <v>82</v>
      </c>
      <c r="K38" s="233" t="s">
        <v>536</v>
      </c>
    </row>
    <row r="39" spans="1:11" hidden="1" x14ac:dyDescent="0.25">
      <c r="A39" s="259" t="s">
        <v>537</v>
      </c>
      <c r="B39" s="1290" t="s">
        <v>538</v>
      </c>
      <c r="C39" s="1291"/>
      <c r="D39" s="1292"/>
      <c r="E39" s="1292"/>
      <c r="F39" s="1292"/>
      <c r="G39" s="1292"/>
      <c r="H39" s="1293"/>
      <c r="I39" s="254"/>
      <c r="J39" s="233"/>
      <c r="K39" s="233"/>
    </row>
    <row r="40" spans="1:11" ht="31.9" hidden="1" customHeight="1" x14ac:dyDescent="0.25">
      <c r="A40" s="259"/>
      <c r="B40" s="1294" t="s">
        <v>539</v>
      </c>
      <c r="C40" s="1295"/>
      <c r="D40" s="440" t="s">
        <v>507</v>
      </c>
      <c r="E40" s="243"/>
      <c r="F40" s="243">
        <v>0.25</v>
      </c>
      <c r="G40" s="1298">
        <v>6.2</v>
      </c>
      <c r="H40" s="1298"/>
      <c r="I40" s="254">
        <f>E40/100*F40*G40</f>
        <v>0</v>
      </c>
      <c r="J40" s="233">
        <v>83</v>
      </c>
      <c r="K40" s="233" t="s">
        <v>540</v>
      </c>
    </row>
    <row r="41" spans="1:11" ht="22.15" hidden="1" customHeight="1" x14ac:dyDescent="0.25">
      <c r="A41" s="259"/>
      <c r="B41" s="1294" t="s">
        <v>541</v>
      </c>
      <c r="C41" s="1295"/>
      <c r="D41" s="440" t="s">
        <v>507</v>
      </c>
      <c r="E41" s="443"/>
      <c r="F41" s="243">
        <v>0.25</v>
      </c>
      <c r="G41" s="1298">
        <v>8.4</v>
      </c>
      <c r="H41" s="1298"/>
      <c r="I41" s="254">
        <f>E41/100*F41*G41</f>
        <v>0</v>
      </c>
      <c r="J41" s="233">
        <v>83</v>
      </c>
      <c r="K41" s="233" t="s">
        <v>542</v>
      </c>
    </row>
    <row r="42" spans="1:11" ht="24.6" hidden="1" customHeight="1" x14ac:dyDescent="0.25">
      <c r="A42" s="259"/>
      <c r="B42" s="1294" t="s">
        <v>543</v>
      </c>
      <c r="C42" s="1295"/>
      <c r="D42" s="440" t="s">
        <v>164</v>
      </c>
      <c r="E42" s="243"/>
      <c r="F42" s="243">
        <v>0.25</v>
      </c>
      <c r="G42" s="1298">
        <v>2.1</v>
      </c>
      <c r="H42" s="1298"/>
      <c r="I42" s="254">
        <f t="shared" ref="I42:I49" si="1">E42/100*F42*G42</f>
        <v>0</v>
      </c>
      <c r="J42" s="233">
        <v>83</v>
      </c>
      <c r="K42" s="233" t="s">
        <v>544</v>
      </c>
    </row>
    <row r="43" spans="1:11" ht="22.9" hidden="1" customHeight="1" x14ac:dyDescent="0.25">
      <c r="A43" s="259"/>
      <c r="B43" s="1294" t="s">
        <v>545</v>
      </c>
      <c r="C43" s="1295"/>
      <c r="D43" s="440" t="s">
        <v>546</v>
      </c>
      <c r="E43" s="243"/>
      <c r="F43" s="256"/>
      <c r="G43" s="1298"/>
      <c r="H43" s="1298"/>
      <c r="I43" s="254">
        <f t="shared" si="1"/>
        <v>0</v>
      </c>
      <c r="J43" s="233"/>
      <c r="K43" s="233"/>
    </row>
    <row r="44" spans="1:11" ht="15" customHeight="1" x14ac:dyDescent="0.25">
      <c r="A44" s="259"/>
      <c r="B44" s="1336"/>
      <c r="C44" s="1337"/>
      <c r="D44" s="1337"/>
      <c r="E44" s="1337"/>
      <c r="F44" s="1337"/>
      <c r="G44" s="1337"/>
      <c r="H44" s="1338"/>
      <c r="I44" s="254"/>
      <c r="J44" s="233"/>
      <c r="K44" s="233"/>
    </row>
    <row r="45" spans="1:11" ht="20.45" hidden="1" customHeight="1" x14ac:dyDescent="0.25">
      <c r="A45" s="259"/>
      <c r="B45" s="1330" t="s">
        <v>548</v>
      </c>
      <c r="C45" s="1331"/>
      <c r="D45" s="440" t="s">
        <v>507</v>
      </c>
      <c r="E45" s="243"/>
      <c r="F45" s="243">
        <v>0.25</v>
      </c>
      <c r="G45" s="1305">
        <v>21.3</v>
      </c>
      <c r="H45" s="1306"/>
      <c r="I45" s="254">
        <f t="shared" si="1"/>
        <v>0</v>
      </c>
      <c r="J45" s="233">
        <v>86</v>
      </c>
      <c r="K45" s="233" t="s">
        <v>549</v>
      </c>
    </row>
    <row r="46" spans="1:11" ht="25.9" hidden="1" customHeight="1" x14ac:dyDescent="0.25">
      <c r="A46" s="259"/>
      <c r="B46" s="1330" t="s">
        <v>550</v>
      </c>
      <c r="C46" s="1331"/>
      <c r="D46" s="440" t="s">
        <v>507</v>
      </c>
      <c r="E46" s="243"/>
      <c r="F46" s="243">
        <v>0.25</v>
      </c>
      <c r="G46" s="1305">
        <v>23.2</v>
      </c>
      <c r="H46" s="1306"/>
      <c r="I46" s="254">
        <f t="shared" si="1"/>
        <v>0</v>
      </c>
      <c r="J46" s="233">
        <v>86</v>
      </c>
      <c r="K46" s="233" t="s">
        <v>551</v>
      </c>
    </row>
    <row r="47" spans="1:11" ht="21.6" hidden="1" customHeight="1" x14ac:dyDescent="0.25">
      <c r="A47" s="259"/>
      <c r="B47" s="1330" t="s">
        <v>552</v>
      </c>
      <c r="C47" s="1331"/>
      <c r="D47" s="440" t="s">
        <v>507</v>
      </c>
      <c r="E47" s="243"/>
      <c r="F47" s="243">
        <v>0.25</v>
      </c>
      <c r="G47" s="1332">
        <v>28</v>
      </c>
      <c r="H47" s="1333"/>
      <c r="I47" s="254">
        <f t="shared" si="1"/>
        <v>0</v>
      </c>
      <c r="J47" s="233">
        <v>86</v>
      </c>
      <c r="K47" s="233" t="s">
        <v>553</v>
      </c>
    </row>
    <row r="48" spans="1:11" ht="21" customHeight="1" x14ac:dyDescent="0.25">
      <c r="A48" s="259" t="s">
        <v>821</v>
      </c>
      <c r="B48" s="1303" t="s">
        <v>554</v>
      </c>
      <c r="C48" s="1304"/>
      <c r="D48" s="440" t="s">
        <v>533</v>
      </c>
      <c r="E48" s="256">
        <v>2</v>
      </c>
      <c r="F48" s="256">
        <v>1</v>
      </c>
      <c r="G48" s="1334">
        <v>0.72</v>
      </c>
      <c r="H48" s="1335"/>
      <c r="I48" s="254">
        <f>E48/1*F48*G48</f>
        <v>1.44</v>
      </c>
      <c r="J48" s="233">
        <v>87</v>
      </c>
      <c r="K48" s="233" t="s">
        <v>555</v>
      </c>
    </row>
    <row r="49" spans="1:11" hidden="1" x14ac:dyDescent="0.25">
      <c r="A49" s="444"/>
      <c r="B49" s="1326"/>
      <c r="C49" s="1327"/>
      <c r="D49" s="445"/>
      <c r="E49" s="446"/>
      <c r="F49" s="446"/>
      <c r="G49" s="1328"/>
      <c r="H49" s="1329"/>
      <c r="I49" s="447">
        <f t="shared" si="1"/>
        <v>0</v>
      </c>
      <c r="J49" s="448"/>
      <c r="K49" s="448"/>
    </row>
    <row r="50" spans="1:11" ht="27" hidden="1" customHeight="1" x14ac:dyDescent="0.25">
      <c r="A50" s="444" t="s">
        <v>528</v>
      </c>
      <c r="B50" s="1318" t="s">
        <v>556</v>
      </c>
      <c r="C50" s="1319"/>
      <c r="D50" s="445" t="s">
        <v>557</v>
      </c>
      <c r="E50" s="448"/>
      <c r="F50" s="449"/>
      <c r="G50" s="1320">
        <v>0.45</v>
      </c>
      <c r="H50" s="1321"/>
      <c r="I50" s="447">
        <f>E50*F50*G50</f>
        <v>0</v>
      </c>
      <c r="J50" s="448">
        <v>99</v>
      </c>
      <c r="K50" s="448" t="s">
        <v>558</v>
      </c>
    </row>
    <row r="51" spans="1:11" ht="28.15" hidden="1" customHeight="1" x14ac:dyDescent="0.25">
      <c r="A51" s="444" t="s">
        <v>531</v>
      </c>
      <c r="B51" s="1318" t="s">
        <v>559</v>
      </c>
      <c r="C51" s="1319"/>
      <c r="D51" s="445" t="s">
        <v>560</v>
      </c>
      <c r="E51" s="446"/>
      <c r="F51" s="449"/>
      <c r="G51" s="1320">
        <v>3.3</v>
      </c>
      <c r="H51" s="1321"/>
      <c r="I51" s="447">
        <f>E51/10*F51*G51</f>
        <v>0</v>
      </c>
      <c r="J51" s="448">
        <v>106</v>
      </c>
      <c r="K51" s="448" t="s">
        <v>561</v>
      </c>
    </row>
    <row r="52" spans="1:11" ht="34.15" hidden="1" customHeight="1" x14ac:dyDescent="0.25">
      <c r="A52" s="444"/>
      <c r="B52" s="1318" t="s">
        <v>562</v>
      </c>
      <c r="C52" s="1319"/>
      <c r="D52" s="445" t="s">
        <v>546</v>
      </c>
      <c r="E52" s="448"/>
      <c r="F52" s="449"/>
      <c r="G52" s="1320"/>
      <c r="H52" s="1321"/>
      <c r="I52" s="447">
        <f t="shared" ref="I52:I64" si="2">E52/100*F52*G52</f>
        <v>0</v>
      </c>
      <c r="J52" s="448"/>
      <c r="K52" s="448"/>
    </row>
    <row r="53" spans="1:11" ht="22.9" hidden="1" customHeight="1" x14ac:dyDescent="0.25">
      <c r="A53" s="444"/>
      <c r="B53" s="1318" t="s">
        <v>563</v>
      </c>
      <c r="C53" s="1319"/>
      <c r="D53" s="445" t="s">
        <v>546</v>
      </c>
      <c r="E53" s="448"/>
      <c r="F53" s="449"/>
      <c r="G53" s="1320"/>
      <c r="H53" s="1321"/>
      <c r="I53" s="447">
        <f t="shared" si="2"/>
        <v>0</v>
      </c>
      <c r="J53" s="448"/>
      <c r="K53" s="448"/>
    </row>
    <row r="54" spans="1:11" hidden="1" x14ac:dyDescent="0.25">
      <c r="A54" s="444"/>
      <c r="B54" s="1312" t="s">
        <v>564</v>
      </c>
      <c r="C54" s="1324"/>
      <c r="D54" s="1324"/>
      <c r="E54" s="1324"/>
      <c r="F54" s="1324"/>
      <c r="G54" s="1324"/>
      <c r="H54" s="1325"/>
      <c r="I54" s="447">
        <f t="shared" si="2"/>
        <v>0</v>
      </c>
      <c r="J54" s="448">
        <v>84</v>
      </c>
      <c r="K54" s="448"/>
    </row>
    <row r="55" spans="1:11" ht="25.15" hidden="1" customHeight="1" x14ac:dyDescent="0.25">
      <c r="A55" s="444"/>
      <c r="B55" s="1318" t="s">
        <v>565</v>
      </c>
      <c r="C55" s="1319"/>
      <c r="D55" s="445" t="s">
        <v>164</v>
      </c>
      <c r="E55" s="448"/>
      <c r="F55" s="449"/>
      <c r="G55" s="1320">
        <v>0.5</v>
      </c>
      <c r="H55" s="1321"/>
      <c r="I55" s="447">
        <f>E55*F55*G55</f>
        <v>0</v>
      </c>
      <c r="J55" s="448">
        <v>84</v>
      </c>
      <c r="K55" s="448" t="s">
        <v>566</v>
      </c>
    </row>
    <row r="56" spans="1:11" ht="13.15" hidden="1" customHeight="1" x14ac:dyDescent="0.25">
      <c r="A56" s="444"/>
      <c r="B56" s="1318" t="s">
        <v>567</v>
      </c>
      <c r="C56" s="1319"/>
      <c r="D56" s="445" t="s">
        <v>164</v>
      </c>
      <c r="E56" s="448"/>
      <c r="F56" s="449"/>
      <c r="G56" s="1320">
        <v>0.16</v>
      </c>
      <c r="H56" s="1321"/>
      <c r="I56" s="447">
        <f>E56*F56*G56</f>
        <v>0</v>
      </c>
      <c r="J56" s="448">
        <v>84</v>
      </c>
      <c r="K56" s="448" t="s">
        <v>568</v>
      </c>
    </row>
    <row r="57" spans="1:11" ht="23.45" hidden="1" customHeight="1" x14ac:dyDescent="0.25">
      <c r="A57" s="444" t="s">
        <v>547</v>
      </c>
      <c r="B57" s="1318" t="s">
        <v>569</v>
      </c>
      <c r="C57" s="1319"/>
      <c r="D57" s="445" t="s">
        <v>507</v>
      </c>
      <c r="E57" s="446"/>
      <c r="F57" s="449"/>
      <c r="G57" s="1320">
        <v>0.48</v>
      </c>
      <c r="H57" s="1321"/>
      <c r="I57" s="447">
        <f t="shared" si="2"/>
        <v>0</v>
      </c>
      <c r="J57" s="448">
        <v>81</v>
      </c>
      <c r="K57" s="448" t="s">
        <v>524</v>
      </c>
    </row>
    <row r="58" spans="1:11" ht="21" hidden="1" customHeight="1" x14ac:dyDescent="0.25">
      <c r="A58" s="444" t="s">
        <v>570</v>
      </c>
      <c r="B58" s="1318" t="s">
        <v>571</v>
      </c>
      <c r="C58" s="1319"/>
      <c r="D58" s="445" t="s">
        <v>507</v>
      </c>
      <c r="E58" s="446"/>
      <c r="F58" s="449"/>
      <c r="G58" s="1320">
        <v>1.73</v>
      </c>
      <c r="H58" s="1321"/>
      <c r="I58" s="447">
        <f>E58/100*F58*G58</f>
        <v>0</v>
      </c>
      <c r="J58" s="448">
        <v>81</v>
      </c>
      <c r="K58" s="448" t="s">
        <v>527</v>
      </c>
    </row>
    <row r="59" spans="1:11" ht="30.6" hidden="1" customHeight="1" x14ac:dyDescent="0.25">
      <c r="A59" s="444" t="s">
        <v>572</v>
      </c>
      <c r="B59" s="1318" t="s">
        <v>573</v>
      </c>
      <c r="C59" s="1319"/>
      <c r="D59" s="445" t="s">
        <v>574</v>
      </c>
      <c r="E59" s="449"/>
      <c r="F59" s="449"/>
      <c r="G59" s="1320">
        <v>0.3</v>
      </c>
      <c r="H59" s="1321"/>
      <c r="I59" s="447">
        <f>E59*F59*G59</f>
        <v>0</v>
      </c>
      <c r="J59" s="448">
        <v>85</v>
      </c>
      <c r="K59" s="448" t="s">
        <v>575</v>
      </c>
    </row>
    <row r="60" spans="1:11" ht="24" hidden="1" customHeight="1" x14ac:dyDescent="0.25">
      <c r="A60" s="444"/>
      <c r="B60" s="1318" t="s">
        <v>576</v>
      </c>
      <c r="C60" s="1319"/>
      <c r="D60" s="445" t="s">
        <v>546</v>
      </c>
      <c r="E60" s="448"/>
      <c r="F60" s="446"/>
      <c r="G60" s="1320"/>
      <c r="H60" s="1321"/>
      <c r="I60" s="447">
        <f t="shared" si="2"/>
        <v>0</v>
      </c>
      <c r="J60" s="448"/>
      <c r="K60" s="448"/>
    </row>
    <row r="61" spans="1:11" ht="20.25" customHeight="1" x14ac:dyDescent="0.25">
      <c r="A61" s="259" t="s">
        <v>547</v>
      </c>
      <c r="B61" s="1322" t="s">
        <v>577</v>
      </c>
      <c r="C61" s="1323"/>
      <c r="D61" s="440" t="s">
        <v>578</v>
      </c>
      <c r="E61" s="256">
        <f>2-2</f>
        <v>0</v>
      </c>
      <c r="F61" s="256">
        <v>2</v>
      </c>
      <c r="G61" s="1298">
        <v>0.48</v>
      </c>
      <c r="H61" s="1298"/>
      <c r="I61" s="254">
        <f>E61*F61*G61</f>
        <v>0</v>
      </c>
      <c r="J61" s="233">
        <v>93</v>
      </c>
      <c r="K61" s="233" t="s">
        <v>579</v>
      </c>
    </row>
    <row r="62" spans="1:11" ht="40.15" hidden="1" customHeight="1" x14ac:dyDescent="0.25">
      <c r="A62" s="444"/>
      <c r="B62" s="1309" t="s">
        <v>580</v>
      </c>
      <c r="C62" s="1310"/>
      <c r="D62" s="445" t="s">
        <v>546</v>
      </c>
      <c r="E62" s="448"/>
      <c r="F62" s="449">
        <v>1</v>
      </c>
      <c r="G62" s="1311"/>
      <c r="H62" s="1311"/>
      <c r="I62" s="447">
        <f t="shared" si="2"/>
        <v>0</v>
      </c>
      <c r="J62" s="448"/>
      <c r="K62" s="448"/>
    </row>
    <row r="63" spans="1:11" ht="17.45" hidden="1" customHeight="1" x14ac:dyDescent="0.25">
      <c r="A63" s="444"/>
      <c r="B63" s="1309" t="s">
        <v>581</v>
      </c>
      <c r="C63" s="1310"/>
      <c r="D63" s="445" t="s">
        <v>546</v>
      </c>
      <c r="E63" s="448"/>
      <c r="F63" s="446">
        <v>0.25</v>
      </c>
      <c r="G63" s="1311"/>
      <c r="H63" s="1311"/>
      <c r="I63" s="447">
        <f t="shared" si="2"/>
        <v>0</v>
      </c>
      <c r="J63" s="448"/>
      <c r="K63" s="448"/>
    </row>
    <row r="64" spans="1:11" ht="27.6" hidden="1" customHeight="1" x14ac:dyDescent="0.25">
      <c r="A64" s="444"/>
      <c r="B64" s="1309" t="s">
        <v>582</v>
      </c>
      <c r="C64" s="1310"/>
      <c r="D64" s="445" t="s">
        <v>546</v>
      </c>
      <c r="E64" s="448"/>
      <c r="F64" s="449"/>
      <c r="G64" s="1311"/>
      <c r="H64" s="1311"/>
      <c r="I64" s="447">
        <f t="shared" si="2"/>
        <v>0</v>
      </c>
      <c r="J64" s="448"/>
      <c r="K64" s="448"/>
    </row>
    <row r="65" spans="1:11" hidden="1" x14ac:dyDescent="0.25">
      <c r="A65" s="450" t="s">
        <v>583</v>
      </c>
      <c r="B65" s="1312" t="s">
        <v>584</v>
      </c>
      <c r="C65" s="1313"/>
      <c r="D65" s="1313"/>
      <c r="E65" s="1313"/>
      <c r="F65" s="1313"/>
      <c r="G65" s="1313"/>
      <c r="H65" s="1314"/>
      <c r="I65" s="451"/>
      <c r="J65" s="452"/>
      <c r="K65" s="452"/>
    </row>
    <row r="66" spans="1:11" hidden="1" x14ac:dyDescent="0.25">
      <c r="A66" s="444" t="s">
        <v>585</v>
      </c>
      <c r="B66" s="1312" t="s">
        <v>586</v>
      </c>
      <c r="C66" s="1315"/>
      <c r="D66" s="1316"/>
      <c r="E66" s="1316"/>
      <c r="F66" s="1316"/>
      <c r="G66" s="1316"/>
      <c r="H66" s="1317"/>
      <c r="I66" s="447"/>
      <c r="J66" s="448"/>
      <c r="K66" s="448"/>
    </row>
    <row r="67" spans="1:11" ht="25.9" hidden="1" customHeight="1" x14ac:dyDescent="0.25">
      <c r="A67" s="444"/>
      <c r="B67" s="1309" t="s">
        <v>529</v>
      </c>
      <c r="C67" s="1310"/>
      <c r="D67" s="445" t="s">
        <v>507</v>
      </c>
      <c r="E67" s="446">
        <f>[1]Таблица_Характеристика!M87</f>
        <v>0</v>
      </c>
      <c r="F67" s="449"/>
      <c r="G67" s="1311">
        <v>2.2000000000000002</v>
      </c>
      <c r="H67" s="1311"/>
      <c r="I67" s="447">
        <f>E67/100*F67*G67</f>
        <v>0</v>
      </c>
      <c r="J67" s="448">
        <v>82</v>
      </c>
      <c r="K67" s="448" t="s">
        <v>530</v>
      </c>
    </row>
    <row r="68" spans="1:11" ht="22.15" hidden="1" customHeight="1" x14ac:dyDescent="0.25">
      <c r="A68" s="444"/>
      <c r="B68" s="1309" t="s">
        <v>532</v>
      </c>
      <c r="C68" s="1310"/>
      <c r="D68" s="445" t="s">
        <v>164</v>
      </c>
      <c r="E68" s="446"/>
      <c r="F68" s="449">
        <v>2</v>
      </c>
      <c r="G68" s="1311">
        <v>1.5</v>
      </c>
      <c r="H68" s="1311"/>
      <c r="I68" s="447"/>
      <c r="J68" s="448"/>
      <c r="K68" s="448"/>
    </row>
    <row r="69" spans="1:11" hidden="1" x14ac:dyDescent="0.25">
      <c r="A69" s="444"/>
      <c r="B69" s="1309" t="s">
        <v>587</v>
      </c>
      <c r="C69" s="1310"/>
      <c r="D69" s="445" t="s">
        <v>546</v>
      </c>
      <c r="E69" s="448"/>
      <c r="F69" s="449">
        <v>2</v>
      </c>
      <c r="G69" s="1311"/>
      <c r="H69" s="1311"/>
      <c r="I69" s="447">
        <f>E69/100*F69*G69</f>
        <v>0</v>
      </c>
      <c r="J69" s="448"/>
      <c r="K69" s="448"/>
    </row>
    <row r="70" spans="1:11" x14ac:dyDescent="0.25">
      <c r="A70" s="259" t="s">
        <v>570</v>
      </c>
      <c r="B70" s="1290" t="s">
        <v>588</v>
      </c>
      <c r="C70" s="1291"/>
      <c r="D70" s="1292"/>
      <c r="E70" s="1292"/>
      <c r="F70" s="1292"/>
      <c r="G70" s="1292"/>
      <c r="H70" s="1293"/>
      <c r="I70" s="254"/>
      <c r="J70" s="233"/>
      <c r="K70" s="233"/>
    </row>
    <row r="71" spans="1:11" ht="24.6" customHeight="1" x14ac:dyDescent="0.25">
      <c r="A71" s="259"/>
      <c r="B71" s="1294" t="s">
        <v>589</v>
      </c>
      <c r="C71" s="1295"/>
      <c r="D71" s="440" t="s">
        <v>557</v>
      </c>
      <c r="E71" s="243">
        <v>8</v>
      </c>
      <c r="F71" s="256">
        <v>1</v>
      </c>
      <c r="G71" s="1298">
        <v>1.4</v>
      </c>
      <c r="H71" s="1298"/>
      <c r="I71" s="254">
        <f>F71*G71*E71</f>
        <v>11.2</v>
      </c>
      <c r="J71" s="233">
        <v>91</v>
      </c>
      <c r="K71" s="233" t="s">
        <v>590</v>
      </c>
    </row>
    <row r="72" spans="1:11" ht="19.149999999999999" hidden="1" customHeight="1" x14ac:dyDescent="0.25">
      <c r="A72" s="259"/>
      <c r="B72" s="1294" t="s">
        <v>591</v>
      </c>
      <c r="C72" s="1295"/>
      <c r="D72" s="440" t="s">
        <v>557</v>
      </c>
      <c r="E72" s="243"/>
      <c r="F72" s="256">
        <v>2</v>
      </c>
      <c r="G72" s="1298">
        <v>1.8</v>
      </c>
      <c r="H72" s="1298"/>
      <c r="I72" s="254">
        <f>F72*G72*E72</f>
        <v>0</v>
      </c>
      <c r="J72" s="233">
        <v>91</v>
      </c>
      <c r="K72" s="233" t="s">
        <v>592</v>
      </c>
    </row>
    <row r="73" spans="1:11" ht="19.899999999999999" customHeight="1" x14ac:dyDescent="0.25">
      <c r="A73" s="259"/>
      <c r="B73" s="1307" t="s">
        <v>593</v>
      </c>
      <c r="C73" s="1308"/>
      <c r="D73" s="440" t="s">
        <v>594</v>
      </c>
      <c r="E73" s="243">
        <v>1</v>
      </c>
      <c r="F73" s="256">
        <v>8</v>
      </c>
      <c r="G73" s="1298">
        <v>0.2</v>
      </c>
      <c r="H73" s="1298"/>
      <c r="I73" s="254">
        <f>F73*G73*E73</f>
        <v>1.6</v>
      </c>
      <c r="J73" s="233">
        <v>91</v>
      </c>
      <c r="K73" s="233" t="s">
        <v>595</v>
      </c>
    </row>
    <row r="74" spans="1:11" ht="24" hidden="1" customHeight="1" x14ac:dyDescent="0.25">
      <c r="A74" s="444"/>
      <c r="B74" s="1309" t="s">
        <v>596</v>
      </c>
      <c r="C74" s="1310"/>
      <c r="D74" s="445" t="s">
        <v>546</v>
      </c>
      <c r="E74" s="448"/>
      <c r="F74" s="446">
        <v>0.25</v>
      </c>
      <c r="G74" s="1311"/>
      <c r="H74" s="1311"/>
      <c r="I74" s="447">
        <f>E74/100*F74*G74</f>
        <v>0</v>
      </c>
      <c r="J74" s="448"/>
      <c r="K74" s="448"/>
    </row>
    <row r="75" spans="1:11" ht="25.9" hidden="1" customHeight="1" x14ac:dyDescent="0.25">
      <c r="A75" s="444"/>
      <c r="B75" s="1309" t="s">
        <v>597</v>
      </c>
      <c r="C75" s="1310"/>
      <c r="D75" s="445" t="s">
        <v>557</v>
      </c>
      <c r="E75" s="448"/>
      <c r="F75" s="449">
        <v>2</v>
      </c>
      <c r="G75" s="1311"/>
      <c r="H75" s="1311"/>
      <c r="I75" s="447">
        <f>E75/100*F75*G75</f>
        <v>0</v>
      </c>
      <c r="J75" s="448">
        <v>99</v>
      </c>
      <c r="K75" s="448" t="s">
        <v>598</v>
      </c>
    </row>
    <row r="76" spans="1:11" ht="21.6" customHeight="1" x14ac:dyDescent="0.25">
      <c r="A76" s="259" t="s">
        <v>572</v>
      </c>
      <c r="B76" s="1303" t="s">
        <v>600</v>
      </c>
      <c r="C76" s="1304"/>
      <c r="D76" s="440" t="s">
        <v>557</v>
      </c>
      <c r="E76" s="233">
        <v>10</v>
      </c>
      <c r="F76" s="256">
        <v>1</v>
      </c>
      <c r="G76" s="1305">
        <v>0.35</v>
      </c>
      <c r="H76" s="1306"/>
      <c r="I76" s="254">
        <f t="shared" ref="I76:I80" si="3">E76*F76*G76</f>
        <v>3.5</v>
      </c>
      <c r="J76" s="233">
        <v>94</v>
      </c>
      <c r="K76" s="233" t="s">
        <v>601</v>
      </c>
    </row>
    <row r="77" spans="1:11" ht="25.9" customHeight="1" x14ac:dyDescent="0.25">
      <c r="A77" s="259" t="s">
        <v>822</v>
      </c>
      <c r="B77" s="1303" t="s">
        <v>603</v>
      </c>
      <c r="C77" s="1304"/>
      <c r="D77" s="440" t="s">
        <v>557</v>
      </c>
      <c r="E77" s="233">
        <v>10</v>
      </c>
      <c r="F77" s="256">
        <v>1</v>
      </c>
      <c r="G77" s="1305">
        <v>0.46</v>
      </c>
      <c r="H77" s="1306"/>
      <c r="I77" s="254">
        <f t="shared" si="3"/>
        <v>4.6000000000000005</v>
      </c>
      <c r="J77" s="233">
        <v>96</v>
      </c>
      <c r="K77" s="233" t="s">
        <v>604</v>
      </c>
    </row>
    <row r="78" spans="1:11" ht="22.9" customHeight="1" x14ac:dyDescent="0.25">
      <c r="A78" s="259"/>
      <c r="B78" s="1303" t="s">
        <v>605</v>
      </c>
      <c r="C78" s="1304"/>
      <c r="D78" s="440" t="s">
        <v>557</v>
      </c>
      <c r="E78" s="233">
        <v>10</v>
      </c>
      <c r="F78" s="256">
        <v>1</v>
      </c>
      <c r="G78" s="1305">
        <v>0.57999999999999996</v>
      </c>
      <c r="H78" s="1306"/>
      <c r="I78" s="254">
        <f t="shared" si="3"/>
        <v>5.8</v>
      </c>
      <c r="J78" s="233">
        <v>96</v>
      </c>
      <c r="K78" s="233" t="s">
        <v>606</v>
      </c>
    </row>
    <row r="79" spans="1:11" ht="27" customHeight="1" x14ac:dyDescent="0.25">
      <c r="A79" s="259" t="s">
        <v>599</v>
      </c>
      <c r="B79" s="1294" t="s">
        <v>597</v>
      </c>
      <c r="C79" s="1295"/>
      <c r="D79" s="440" t="s">
        <v>557</v>
      </c>
      <c r="E79" s="256">
        <v>10</v>
      </c>
      <c r="F79" s="256">
        <v>1</v>
      </c>
      <c r="G79" s="1298">
        <v>0.35</v>
      </c>
      <c r="H79" s="1298"/>
      <c r="I79" s="254">
        <f t="shared" si="3"/>
        <v>3.5</v>
      </c>
      <c r="J79" s="233">
        <v>99</v>
      </c>
      <c r="K79" s="233" t="s">
        <v>598</v>
      </c>
    </row>
    <row r="80" spans="1:11" x14ac:dyDescent="0.25">
      <c r="A80" s="259" t="s">
        <v>602</v>
      </c>
      <c r="B80" s="1299" t="s">
        <v>607</v>
      </c>
      <c r="C80" s="1299"/>
      <c r="D80" s="440" t="s">
        <v>557</v>
      </c>
      <c r="E80" s="233">
        <v>2</v>
      </c>
      <c r="F80" s="256">
        <v>1</v>
      </c>
      <c r="G80" s="1298">
        <v>0.6</v>
      </c>
      <c r="H80" s="1298"/>
      <c r="I80" s="254">
        <f t="shared" si="3"/>
        <v>1.2</v>
      </c>
      <c r="J80" s="233">
        <v>101</v>
      </c>
      <c r="K80" s="233" t="s">
        <v>608</v>
      </c>
    </row>
    <row r="81" spans="1:11" hidden="1" x14ac:dyDescent="0.25">
      <c r="A81" s="259" t="s">
        <v>239</v>
      </c>
      <c r="B81" s="1290" t="s">
        <v>609</v>
      </c>
      <c r="C81" s="1291"/>
      <c r="D81" s="1292"/>
      <c r="E81" s="1292"/>
      <c r="F81" s="1292"/>
      <c r="G81" s="1292"/>
      <c r="H81" s="1293"/>
      <c r="I81" s="254"/>
      <c r="J81" s="233"/>
      <c r="K81" s="233"/>
    </row>
    <row r="82" spans="1:11" ht="25.15" hidden="1" customHeight="1" x14ac:dyDescent="0.25">
      <c r="A82" s="259"/>
      <c r="B82" s="1294" t="s">
        <v>610</v>
      </c>
      <c r="C82" s="1295"/>
      <c r="D82" s="440" t="s">
        <v>557</v>
      </c>
      <c r="E82" s="233"/>
      <c r="F82" s="243">
        <v>0.25</v>
      </c>
      <c r="G82" s="1296">
        <v>4</v>
      </c>
      <c r="H82" s="1297"/>
      <c r="I82" s="254">
        <f>E82*F82*G82</f>
        <v>0</v>
      </c>
      <c r="J82" s="233"/>
      <c r="K82" s="233"/>
    </row>
    <row r="83" spans="1:11" x14ac:dyDescent="0.25">
      <c r="A83" s="453"/>
      <c r="B83" s="1300" t="s">
        <v>611</v>
      </c>
      <c r="C83" s="1301"/>
      <c r="D83" s="454"/>
      <c r="E83" s="455"/>
      <c r="F83" s="201"/>
      <c r="G83" s="1237"/>
      <c r="H83" s="1302"/>
      <c r="I83" s="205">
        <f>SUM(I28:I82)</f>
        <v>113.104</v>
      </c>
      <c r="J83" s="201"/>
      <c r="K83" s="201"/>
    </row>
    <row r="84" spans="1:11" x14ac:dyDescent="0.25">
      <c r="A84" s="1362" t="s">
        <v>824</v>
      </c>
      <c r="B84" s="1362"/>
      <c r="C84" s="1362"/>
      <c r="D84" s="1362"/>
      <c r="E84" s="1362"/>
      <c r="F84" s="1362"/>
      <c r="G84" s="1362"/>
      <c r="H84" s="1362"/>
      <c r="I84" s="1362"/>
      <c r="J84" s="1362"/>
      <c r="K84" s="1362"/>
    </row>
    <row r="85" spans="1:11" ht="104.45" customHeight="1" x14ac:dyDescent="0.25">
      <c r="A85" s="194" t="s">
        <v>225</v>
      </c>
      <c r="B85" s="1364" t="s">
        <v>226</v>
      </c>
      <c r="C85" s="741"/>
      <c r="D85" s="621" t="s">
        <v>322</v>
      </c>
      <c r="E85" s="194" t="s">
        <v>501</v>
      </c>
      <c r="F85" s="195" t="s">
        <v>502</v>
      </c>
      <c r="G85" s="195" t="s">
        <v>841</v>
      </c>
      <c r="H85" s="197" t="s">
        <v>504</v>
      </c>
      <c r="I85" s="197" t="s">
        <v>840</v>
      </c>
      <c r="J85" s="197" t="s">
        <v>232</v>
      </c>
      <c r="K85" s="240"/>
    </row>
    <row r="86" spans="1:11" ht="14.45" customHeight="1" x14ac:dyDescent="0.25">
      <c r="A86" s="231">
        <v>1</v>
      </c>
      <c r="B86" s="1363">
        <v>2</v>
      </c>
      <c r="C86" s="741"/>
      <c r="D86" s="618">
        <v>3</v>
      </c>
      <c r="E86" s="233">
        <v>4</v>
      </c>
      <c r="F86" s="233">
        <v>5</v>
      </c>
      <c r="G86" s="622">
        <v>6</v>
      </c>
      <c r="H86" s="233">
        <v>7</v>
      </c>
      <c r="I86" s="233">
        <v>8</v>
      </c>
      <c r="J86" s="545">
        <v>9</v>
      </c>
      <c r="K86" s="240"/>
    </row>
    <row r="87" spans="1:11" ht="14.45" customHeight="1" x14ac:dyDescent="0.25">
      <c r="A87" s="231">
        <v>1</v>
      </c>
      <c r="B87" s="1365" t="s">
        <v>825</v>
      </c>
      <c r="C87" s="741"/>
      <c r="D87" s="741"/>
      <c r="E87" s="741"/>
      <c r="F87" s="741"/>
      <c r="G87" s="741"/>
      <c r="H87" s="439"/>
      <c r="I87" s="439"/>
      <c r="J87" s="439"/>
      <c r="K87" s="240"/>
    </row>
    <row r="88" spans="1:11" ht="14.45" customHeight="1" x14ac:dyDescent="0.25">
      <c r="A88" s="259" t="s">
        <v>223</v>
      </c>
      <c r="B88" s="1294" t="s">
        <v>826</v>
      </c>
      <c r="C88" s="741"/>
      <c r="D88" s="440" t="s">
        <v>827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5" t="s">
        <v>828</v>
      </c>
      <c r="K88" s="240"/>
    </row>
    <row r="89" spans="1:11" ht="14.45" hidden="1" customHeight="1" x14ac:dyDescent="0.25">
      <c r="A89" s="259" t="s">
        <v>509</v>
      </c>
      <c r="B89" s="1294" t="s">
        <v>829</v>
      </c>
      <c r="C89" s="741"/>
      <c r="D89" s="440" t="s">
        <v>830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5" t="s">
        <v>831</v>
      </c>
      <c r="K89" s="240"/>
    </row>
    <row r="90" spans="1:11" ht="14.45" customHeight="1" x14ac:dyDescent="0.25">
      <c r="A90" s="259" t="s">
        <v>771</v>
      </c>
      <c r="B90" s="1294" t="s">
        <v>832</v>
      </c>
      <c r="C90" s="741"/>
      <c r="D90" s="440" t="s">
        <v>833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5" t="s">
        <v>834</v>
      </c>
      <c r="K90" s="240"/>
    </row>
    <row r="91" spans="1:11" x14ac:dyDescent="0.25">
      <c r="A91" s="259" t="s">
        <v>779</v>
      </c>
      <c r="B91" s="1294" t="s">
        <v>835</v>
      </c>
      <c r="C91" s="741"/>
      <c r="D91" s="440" t="s">
        <v>827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5" t="s">
        <v>836</v>
      </c>
      <c r="K91" s="240"/>
    </row>
    <row r="92" spans="1:11" x14ac:dyDescent="0.25">
      <c r="A92" s="259" t="s">
        <v>787</v>
      </c>
      <c r="B92" s="1294" t="s">
        <v>837</v>
      </c>
      <c r="C92" s="741"/>
      <c r="D92" s="440" t="s">
        <v>838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5" t="s">
        <v>839</v>
      </c>
      <c r="K92" s="240"/>
    </row>
    <row r="93" spans="1:11" x14ac:dyDescent="0.25">
      <c r="A93" s="259" t="s">
        <v>518</v>
      </c>
      <c r="B93" s="1369" t="s">
        <v>842</v>
      </c>
      <c r="C93" s="1370"/>
      <c r="D93" s="1370"/>
      <c r="E93" s="1370"/>
      <c r="F93" s="1370"/>
      <c r="G93" s="1371"/>
      <c r="H93" s="254"/>
      <c r="I93" s="233"/>
      <c r="J93" s="545"/>
      <c r="K93" s="240"/>
    </row>
    <row r="94" spans="1:11" hidden="1" x14ac:dyDescent="0.25">
      <c r="A94" s="259" t="s">
        <v>520</v>
      </c>
      <c r="B94" s="1294" t="s">
        <v>843</v>
      </c>
      <c r="C94" s="741"/>
      <c r="D94" s="440" t="s">
        <v>844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5" t="s">
        <v>845</v>
      </c>
      <c r="K94" s="240"/>
    </row>
    <row r="95" spans="1:11" hidden="1" x14ac:dyDescent="0.25">
      <c r="A95" s="259" t="s">
        <v>525</v>
      </c>
      <c r="B95" s="1294" t="s">
        <v>846</v>
      </c>
      <c r="C95" s="741"/>
      <c r="D95" s="440" t="s">
        <v>560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5" t="s">
        <v>847</v>
      </c>
      <c r="K95" s="240"/>
    </row>
    <row r="96" spans="1:11" ht="32.450000000000003" customHeight="1" x14ac:dyDescent="0.25">
      <c r="A96" s="259" t="s">
        <v>522</v>
      </c>
      <c r="B96" s="1294" t="s">
        <v>848</v>
      </c>
      <c r="C96" s="741"/>
      <c r="D96" s="440" t="s">
        <v>849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850</v>
      </c>
      <c r="K96" s="240"/>
    </row>
    <row r="97" spans="1:11" ht="41.45" customHeight="1" x14ac:dyDescent="0.25">
      <c r="A97" s="259" t="s">
        <v>851</v>
      </c>
      <c r="B97" s="1294" t="s">
        <v>852</v>
      </c>
      <c r="C97" s="741"/>
      <c r="D97" s="440" t="s">
        <v>849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853</v>
      </c>
      <c r="K97" s="240"/>
    </row>
    <row r="98" spans="1:11" x14ac:dyDescent="0.25">
      <c r="A98" s="259" t="s">
        <v>239</v>
      </c>
      <c r="B98" s="1369" t="s">
        <v>854</v>
      </c>
      <c r="C98" s="1370"/>
      <c r="D98" s="1370"/>
      <c r="E98" s="1370"/>
      <c r="F98" s="1370"/>
      <c r="G98" s="1371"/>
      <c r="H98" s="254"/>
      <c r="I98" s="233"/>
      <c r="J98" s="545"/>
      <c r="K98" s="240"/>
    </row>
    <row r="99" spans="1:11" x14ac:dyDescent="0.25">
      <c r="A99" s="259" t="s">
        <v>855</v>
      </c>
      <c r="B99" s="1294" t="s">
        <v>887</v>
      </c>
      <c r="C99" s="741"/>
      <c r="D99" s="440" t="s">
        <v>838</v>
      </c>
      <c r="E99" s="256">
        <v>30</v>
      </c>
      <c r="F99" s="623">
        <v>0.5</v>
      </c>
      <c r="G99" s="257">
        <v>0.1</v>
      </c>
      <c r="H99" s="254">
        <f>E99*F99*G99</f>
        <v>1.5</v>
      </c>
      <c r="I99" s="233">
        <v>122</v>
      </c>
      <c r="J99" s="545" t="s">
        <v>856</v>
      </c>
      <c r="K99" s="240"/>
    </row>
    <row r="100" spans="1:11" hidden="1" x14ac:dyDescent="0.25">
      <c r="A100" s="259" t="s">
        <v>857</v>
      </c>
      <c r="B100" s="1294" t="s">
        <v>858</v>
      </c>
      <c r="C100" s="741"/>
      <c r="D100" s="440" t="s">
        <v>838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5" t="s">
        <v>859</v>
      </c>
      <c r="K100" s="240"/>
    </row>
    <row r="101" spans="1:11" x14ac:dyDescent="0.25">
      <c r="A101" s="259" t="s">
        <v>240</v>
      </c>
      <c r="B101" s="1374" t="s">
        <v>860</v>
      </c>
      <c r="C101" s="1375"/>
      <c r="D101" s="1375"/>
      <c r="E101" s="1375"/>
      <c r="F101" s="1375"/>
      <c r="G101" s="1376"/>
      <c r="H101" s="254"/>
      <c r="I101" s="233"/>
      <c r="J101" s="545"/>
      <c r="K101" s="240"/>
    </row>
    <row r="102" spans="1:11" x14ac:dyDescent="0.25">
      <c r="A102" s="259" t="s">
        <v>690</v>
      </c>
      <c r="B102" s="1294" t="s">
        <v>861</v>
      </c>
      <c r="C102" s="741"/>
      <c r="D102" s="440" t="s">
        <v>862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5" t="s">
        <v>863</v>
      </c>
      <c r="K102" s="240"/>
    </row>
    <row r="103" spans="1:11" x14ac:dyDescent="0.25">
      <c r="A103" s="259" t="s">
        <v>692</v>
      </c>
      <c r="B103" s="1294" t="s">
        <v>864</v>
      </c>
      <c r="C103" s="741"/>
      <c r="D103" s="440" t="s">
        <v>862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5" t="s">
        <v>865</v>
      </c>
      <c r="K103" s="240"/>
    </row>
    <row r="104" spans="1:11" x14ac:dyDescent="0.25">
      <c r="A104" s="200" t="s">
        <v>255</v>
      </c>
      <c r="B104" s="1290" t="s">
        <v>866</v>
      </c>
      <c r="C104" s="1377"/>
      <c r="D104" s="1377"/>
      <c r="E104" s="1377"/>
      <c r="F104" s="1377"/>
      <c r="G104" s="1378"/>
      <c r="H104" s="631"/>
      <c r="I104" s="199"/>
      <c r="J104" s="632"/>
      <c r="K104" s="240"/>
    </row>
    <row r="105" spans="1:11" x14ac:dyDescent="0.25">
      <c r="A105" s="259" t="s">
        <v>867</v>
      </c>
      <c r="B105" s="1330" t="s">
        <v>868</v>
      </c>
      <c r="C105" s="1379"/>
      <c r="D105" s="440" t="s">
        <v>838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5" t="s">
        <v>869</v>
      </c>
      <c r="K105" s="240"/>
    </row>
    <row r="106" spans="1:11" x14ac:dyDescent="0.25">
      <c r="A106" s="259" t="s">
        <v>870</v>
      </c>
      <c r="B106" s="1330" t="s">
        <v>871</v>
      </c>
      <c r="C106" s="1379"/>
      <c r="D106" s="440" t="s">
        <v>838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5" t="s">
        <v>872</v>
      </c>
      <c r="K106" s="240"/>
    </row>
    <row r="107" spans="1:11" x14ac:dyDescent="0.25">
      <c r="A107" s="259" t="s">
        <v>258</v>
      </c>
      <c r="B107" s="1369" t="s">
        <v>873</v>
      </c>
      <c r="C107" s="1370"/>
      <c r="D107" s="1370"/>
      <c r="E107" s="1370"/>
      <c r="F107" s="1370"/>
      <c r="G107" s="1371"/>
      <c r="H107" s="254"/>
      <c r="I107" s="233"/>
      <c r="J107" s="545"/>
      <c r="K107" s="240"/>
    </row>
    <row r="108" spans="1:11" x14ac:dyDescent="0.25">
      <c r="A108" s="633" t="s">
        <v>874</v>
      </c>
      <c r="B108" s="1294" t="s">
        <v>875</v>
      </c>
      <c r="C108" s="1380"/>
      <c r="D108" s="619" t="s">
        <v>862</v>
      </c>
      <c r="E108" s="634">
        <v>1</v>
      </c>
      <c r="F108" s="634">
        <v>1</v>
      </c>
      <c r="G108" s="204">
        <v>0.75</v>
      </c>
      <c r="H108" s="254">
        <f>E108/10*F108*G108</f>
        <v>7.5000000000000011E-2</v>
      </c>
      <c r="I108" s="233">
        <v>125</v>
      </c>
      <c r="J108" s="545" t="s">
        <v>876</v>
      </c>
      <c r="K108" s="240"/>
    </row>
    <row r="109" spans="1:11" x14ac:dyDescent="0.25">
      <c r="A109" s="633" t="s">
        <v>877</v>
      </c>
      <c r="B109" s="1294" t="s">
        <v>878</v>
      </c>
      <c r="C109" s="1380"/>
      <c r="D109" s="619" t="s">
        <v>862</v>
      </c>
      <c r="E109" s="634">
        <v>6</v>
      </c>
      <c r="F109" s="634">
        <v>1</v>
      </c>
      <c r="G109" s="204">
        <v>10.6</v>
      </c>
      <c r="H109" s="254">
        <f>E109/10*F109*G109</f>
        <v>6.3599999999999994</v>
      </c>
      <c r="I109" s="233">
        <v>125</v>
      </c>
      <c r="J109" s="545" t="s">
        <v>879</v>
      </c>
      <c r="K109" s="240"/>
    </row>
    <row r="110" spans="1:11" x14ac:dyDescent="0.25">
      <c r="A110" s="633" t="s">
        <v>880</v>
      </c>
      <c r="B110" s="1294" t="s">
        <v>881</v>
      </c>
      <c r="C110" s="1380"/>
      <c r="D110" s="619" t="s">
        <v>862</v>
      </c>
      <c r="E110" s="634">
        <v>0</v>
      </c>
      <c r="F110" s="634">
        <v>1</v>
      </c>
      <c r="G110" s="204">
        <v>3.1</v>
      </c>
      <c r="H110" s="254">
        <f>E110/10*F110*G110</f>
        <v>0</v>
      </c>
      <c r="I110" s="233">
        <v>125</v>
      </c>
      <c r="J110" s="545" t="s">
        <v>882</v>
      </c>
      <c r="K110" s="240"/>
    </row>
    <row r="111" spans="1:11" x14ac:dyDescent="0.25">
      <c r="A111" s="633" t="s">
        <v>883</v>
      </c>
      <c r="B111" s="1303" t="s">
        <v>884</v>
      </c>
      <c r="C111" s="1391"/>
      <c r="D111" s="635" t="s">
        <v>885</v>
      </c>
      <c r="E111" s="553">
        <v>100</v>
      </c>
      <c r="F111" s="634">
        <v>1</v>
      </c>
      <c r="G111" s="553">
        <v>5.6</v>
      </c>
      <c r="H111" s="254">
        <f>E111/10*F111*G111</f>
        <v>56</v>
      </c>
      <c r="I111" s="233">
        <v>131</v>
      </c>
      <c r="J111" s="233" t="s">
        <v>886</v>
      </c>
      <c r="K111" s="240"/>
    </row>
    <row r="112" spans="1:11" x14ac:dyDescent="0.25">
      <c r="A112" s="259"/>
      <c r="B112" s="1392" t="s">
        <v>611</v>
      </c>
      <c r="C112" s="1200"/>
      <c r="D112" s="636"/>
      <c r="E112" s="224"/>
      <c r="F112" s="223"/>
      <c r="G112" s="637"/>
      <c r="H112" s="222">
        <f>SUM(H88:H111)</f>
        <v>85.394999999999996</v>
      </c>
      <c r="I112" s="233"/>
      <c r="J112" s="545"/>
      <c r="K112" s="240"/>
    </row>
    <row r="113" spans="1:11" x14ac:dyDescent="0.25">
      <c r="A113" s="624"/>
      <c r="B113" s="625"/>
      <c r="C113" s="37"/>
      <c r="D113" s="626"/>
      <c r="E113" s="627"/>
      <c r="F113" s="627"/>
      <c r="G113" s="628"/>
      <c r="H113" s="629"/>
      <c r="I113" s="630"/>
      <c r="J113" s="630"/>
      <c r="K113" s="240"/>
    </row>
    <row r="114" spans="1:11" x14ac:dyDescent="0.25">
      <c r="A114" s="1384" t="s">
        <v>612</v>
      </c>
      <c r="B114" s="1385"/>
      <c r="C114" s="1385"/>
      <c r="D114" s="1385"/>
      <c r="E114" s="1385"/>
      <c r="F114" s="1385"/>
      <c r="G114" s="1385"/>
      <c r="H114" s="1385"/>
      <c r="I114" s="1385"/>
      <c r="J114" s="1385"/>
      <c r="K114" s="240"/>
    </row>
    <row r="115" spans="1:11" ht="76.5" x14ac:dyDescent="0.25">
      <c r="A115" s="1386" t="s">
        <v>186</v>
      </c>
      <c r="B115" s="1387"/>
      <c r="C115" s="459" t="s">
        <v>264</v>
      </c>
      <c r="D115" s="1388" t="s">
        <v>265</v>
      </c>
      <c r="E115" s="1221"/>
      <c r="F115" s="460" t="s">
        <v>613</v>
      </c>
      <c r="G115" s="461" t="s">
        <v>888</v>
      </c>
      <c r="H115" s="460" t="s">
        <v>614</v>
      </c>
      <c r="I115" s="460" t="s">
        <v>615</v>
      </c>
      <c r="J115" s="1389" t="s">
        <v>944</v>
      </c>
      <c r="K115" s="1221"/>
    </row>
    <row r="116" spans="1:11" x14ac:dyDescent="0.25">
      <c r="A116" s="1389">
        <v>1</v>
      </c>
      <c r="B116" s="1387"/>
      <c r="C116" s="462">
        <v>2</v>
      </c>
      <c r="D116" s="1390">
        <v>3</v>
      </c>
      <c r="E116" s="833"/>
      <c r="F116" s="463">
        <v>4</v>
      </c>
      <c r="G116" s="464">
        <v>5</v>
      </c>
      <c r="H116" s="463">
        <v>6</v>
      </c>
      <c r="I116" s="463">
        <v>7</v>
      </c>
      <c r="J116" s="1390">
        <v>8</v>
      </c>
      <c r="K116" s="1235"/>
    </row>
    <row r="117" spans="1:11" x14ac:dyDescent="0.25">
      <c r="A117" s="1381" t="s">
        <v>196</v>
      </c>
      <c r="B117" s="1381"/>
      <c r="C117" s="465">
        <f>I83</f>
        <v>113.104</v>
      </c>
      <c r="D117" s="1382">
        <f>K23</f>
        <v>2002</v>
      </c>
      <c r="E117" s="843"/>
      <c r="F117" s="466">
        <f>C117/D117</f>
        <v>5.6495504495504494E-2</v>
      </c>
      <c r="G117" s="467">
        <f>оклади!K9</f>
        <v>8058</v>
      </c>
      <c r="H117" s="467">
        <f>F117*G117</f>
        <v>455.24077522477523</v>
      </c>
      <c r="I117" s="467">
        <f>H117*0.15</f>
        <v>68.286116283716282</v>
      </c>
      <c r="J117" s="1383">
        <f>H117*1.0676+I117</f>
        <v>554.3011679136863</v>
      </c>
      <c r="K117" s="1235"/>
    </row>
    <row r="118" spans="1:11" x14ac:dyDescent="0.25">
      <c r="A118" s="1381" t="s">
        <v>314</v>
      </c>
      <c r="B118" s="1381"/>
      <c r="C118" s="465">
        <f>H112</f>
        <v>85.394999999999996</v>
      </c>
      <c r="D118" s="1393">
        <f>K23</f>
        <v>2002</v>
      </c>
      <c r="E118" s="741"/>
      <c r="F118" s="466">
        <f>C118/D118</f>
        <v>4.2654845154845154E-2</v>
      </c>
      <c r="G118" s="467">
        <f>оклади!K9</f>
        <v>8058</v>
      </c>
      <c r="H118" s="467">
        <f>F118*G118</f>
        <v>343.71274225774226</v>
      </c>
      <c r="I118" s="467">
        <f>H118*0.15</f>
        <v>51.556911338661337</v>
      </c>
      <c r="J118" s="1372">
        <f>H118*1.0676+I118</f>
        <v>418.50463497302701</v>
      </c>
      <c r="K118" s="1373"/>
    </row>
    <row r="119" spans="1:11" x14ac:dyDescent="0.25">
      <c r="A119" s="412"/>
      <c r="B119" s="456"/>
      <c r="C119" s="456"/>
      <c r="D119" s="456"/>
      <c r="E119" s="457"/>
      <c r="F119" s="240"/>
      <c r="G119" s="240"/>
      <c r="H119" s="240"/>
      <c r="I119" s="458"/>
      <c r="J119" s="240"/>
      <c r="K119" s="240"/>
    </row>
    <row r="120" spans="1:11" x14ac:dyDescent="0.25">
      <c r="A120" s="1394" t="s">
        <v>616</v>
      </c>
      <c r="B120" s="1394"/>
      <c r="C120" s="1394"/>
      <c r="D120" s="1394"/>
      <c r="E120" s="1394"/>
      <c r="F120" s="1394"/>
      <c r="G120" s="1394"/>
      <c r="H120" s="1394"/>
      <c r="I120" s="1394"/>
      <c r="J120" s="1394"/>
      <c r="K120" s="1394"/>
    </row>
    <row r="121" spans="1:11" ht="132" x14ac:dyDescent="0.25">
      <c r="A121" s="1222" t="s">
        <v>271</v>
      </c>
      <c r="B121" s="1275"/>
      <c r="C121" s="1222" t="s">
        <v>272</v>
      </c>
      <c r="D121" s="1276"/>
      <c r="E121" s="1221"/>
      <c r="F121" s="1222" t="s">
        <v>488</v>
      </c>
      <c r="G121" s="1221"/>
      <c r="H121" s="231" t="s">
        <v>274</v>
      </c>
      <c r="I121" s="1222" t="s">
        <v>617</v>
      </c>
      <c r="J121" s="1277"/>
      <c r="K121" s="231" t="s">
        <v>618</v>
      </c>
    </row>
    <row r="122" spans="1:11" x14ac:dyDescent="0.25">
      <c r="A122" s="1222">
        <v>1</v>
      </c>
      <c r="B122" s="1275"/>
      <c r="C122" s="1222">
        <v>2</v>
      </c>
      <c r="D122" s="1276"/>
      <c r="E122" s="1277"/>
      <c r="F122" s="1222">
        <v>3</v>
      </c>
      <c r="G122" s="1277"/>
      <c r="H122" s="232">
        <v>4</v>
      </c>
      <c r="I122" s="1222">
        <v>5</v>
      </c>
      <c r="J122" s="1277"/>
      <c r="K122" s="231">
        <v>6</v>
      </c>
    </row>
    <row r="123" spans="1:11" ht="38.450000000000003" customHeight="1" x14ac:dyDescent="0.25">
      <c r="A123" s="1278" t="s">
        <v>277</v>
      </c>
      <c r="B123" s="1279"/>
      <c r="C123" s="1272">
        <f>прибирання!C49</f>
        <v>1845170</v>
      </c>
      <c r="D123" s="1272"/>
      <c r="E123" s="1248"/>
      <c r="F123" s="1252">
        <f>прибирання!D49</f>
        <v>4483062</v>
      </c>
      <c r="G123" s="1252"/>
      <c r="H123" s="468">
        <f>C123/F123*100</f>
        <v>41.158699121270239</v>
      </c>
      <c r="I123" s="1280">
        <f>J117+J118</f>
        <v>972.80580288671331</v>
      </c>
      <c r="J123" s="1281"/>
      <c r="K123" s="243">
        <f>H123*I123/100</f>
        <v>400.39421344439955</v>
      </c>
    </row>
    <row r="124" spans="1:11" ht="31.9" customHeight="1" x14ac:dyDescent="0.25">
      <c r="A124" s="1278" t="s">
        <v>278</v>
      </c>
      <c r="B124" s="1279"/>
      <c r="C124" s="1272">
        <f>прибирання!C50</f>
        <v>3447871</v>
      </c>
      <c r="D124" s="1272"/>
      <c r="E124" s="1248"/>
      <c r="F124" s="1252">
        <f>прибирання!D50</f>
        <v>15293041.959999999</v>
      </c>
      <c r="G124" s="1252"/>
      <c r="H124" s="468">
        <f>C124/F124*100</f>
        <v>22.54535761438531</v>
      </c>
      <c r="I124" s="1280">
        <f>J10+J11+J13+J14+K123+J15</f>
        <v>4520.7772929661896</v>
      </c>
      <c r="J124" s="1281"/>
      <c r="K124" s="243">
        <f>H124*I124/100</f>
        <v>1019.2254076491549</v>
      </c>
    </row>
    <row r="125" spans="1:11" ht="24.6" customHeight="1" x14ac:dyDescent="0.25">
      <c r="A125" s="1286" t="s">
        <v>279</v>
      </c>
      <c r="B125" s="1287"/>
      <c r="C125" s="1274"/>
      <c r="D125" s="1274"/>
      <c r="E125" s="1256"/>
      <c r="F125" s="1258"/>
      <c r="G125" s="1258"/>
      <c r="H125" s="469"/>
      <c r="I125" s="1288"/>
      <c r="J125" s="1289"/>
      <c r="K125" s="406">
        <f>SUM(K123:K124)</f>
        <v>1419.6196210935545</v>
      </c>
    </row>
    <row r="126" spans="1:11" x14ac:dyDescent="0.25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1.75" x14ac:dyDescent="0.25">
      <c r="A127" s="1241" t="s">
        <v>619</v>
      </c>
      <c r="B127" s="1241"/>
      <c r="C127" s="1241"/>
      <c r="D127" s="470" t="s">
        <v>620</v>
      </c>
      <c r="E127" s="471" t="s">
        <v>621</v>
      </c>
      <c r="F127" s="472" t="s">
        <v>622</v>
      </c>
      <c r="G127" s="471" t="s">
        <v>623</v>
      </c>
      <c r="H127" s="1395" t="s">
        <v>624</v>
      </c>
      <c r="I127" s="1395"/>
      <c r="J127" s="471" t="s">
        <v>625</v>
      </c>
      <c r="K127" s="151"/>
    </row>
    <row r="128" spans="1:11" x14ac:dyDescent="0.25">
      <c r="A128" s="1396">
        <v>1</v>
      </c>
      <c r="B128" s="1396"/>
      <c r="C128" s="1396"/>
      <c r="D128" s="473">
        <v>2</v>
      </c>
      <c r="E128" s="473">
        <v>3</v>
      </c>
      <c r="F128" s="473">
        <v>4</v>
      </c>
      <c r="G128" s="473">
        <v>5</v>
      </c>
      <c r="H128" s="1241">
        <v>6</v>
      </c>
      <c r="I128" s="1241"/>
      <c r="J128" s="473">
        <v>7</v>
      </c>
      <c r="K128" s="151"/>
    </row>
    <row r="129" spans="1:11" x14ac:dyDescent="0.25">
      <c r="A129" s="1283" t="s">
        <v>626</v>
      </c>
      <c r="B129" s="1283"/>
      <c r="C129" s="1283"/>
      <c r="D129" s="411">
        <v>0.5</v>
      </c>
      <c r="E129" s="411">
        <f>E77+E78</f>
        <v>20</v>
      </c>
      <c r="F129" s="411">
        <v>79</v>
      </c>
      <c r="G129" s="411">
        <f>D129*E129*F129</f>
        <v>790</v>
      </c>
      <c r="H129" s="1282">
        <f>G129/12</f>
        <v>65.833333333333329</v>
      </c>
      <c r="I129" s="1282"/>
      <c r="J129" s="474" t="s">
        <v>627</v>
      </c>
      <c r="K129" s="151"/>
    </row>
    <row r="130" spans="1:11" x14ac:dyDescent="0.25">
      <c r="A130" s="1283" t="s">
        <v>628</v>
      </c>
      <c r="B130" s="1283"/>
      <c r="C130" s="1283"/>
      <c r="D130" s="475">
        <v>8</v>
      </c>
      <c r="E130" s="475">
        <f>E79</f>
        <v>10</v>
      </c>
      <c r="F130" s="411">
        <v>8.4700000000000006</v>
      </c>
      <c r="G130" s="411">
        <f t="shared" ref="G130:G134" si="4">D130*E130*F130</f>
        <v>677.6</v>
      </c>
      <c r="H130" s="1284">
        <f>G130/12</f>
        <v>56.466666666666669</v>
      </c>
      <c r="I130" s="1285"/>
      <c r="J130" s="414" t="s">
        <v>598</v>
      </c>
      <c r="K130" s="151"/>
    </row>
    <row r="131" spans="1:11" x14ac:dyDescent="0.25">
      <c r="A131" s="1283" t="s">
        <v>889</v>
      </c>
      <c r="B131" s="1283"/>
      <c r="C131" s="1283"/>
      <c r="D131" s="475">
        <f>E88+E108</f>
        <v>2</v>
      </c>
      <c r="E131" s="475">
        <f>D131</f>
        <v>2</v>
      </c>
      <c r="F131" s="411">
        <v>20.51</v>
      </c>
      <c r="G131" s="411">
        <f>D131*F131</f>
        <v>41.02</v>
      </c>
      <c r="H131" s="1282">
        <f>G131/12</f>
        <v>3.4183333333333334</v>
      </c>
      <c r="I131" s="1282"/>
      <c r="J131" s="473" t="s">
        <v>828</v>
      </c>
    </row>
    <row r="132" spans="1:11" x14ac:dyDescent="0.25">
      <c r="A132" s="1283" t="s">
        <v>890</v>
      </c>
      <c r="B132" s="1283"/>
      <c r="C132" s="1283"/>
      <c r="D132" s="411"/>
      <c r="E132" s="475">
        <f>E96</f>
        <v>9</v>
      </c>
      <c r="F132" s="411">
        <v>3.27</v>
      </c>
      <c r="G132" s="411">
        <f>E132*F132</f>
        <v>29.43</v>
      </c>
      <c r="H132" s="1282">
        <f t="shared" ref="H132:H139" si="5">G132/12</f>
        <v>2.4525000000000001</v>
      </c>
      <c r="I132" s="1282"/>
      <c r="J132" s="414" t="s">
        <v>850</v>
      </c>
    </row>
    <row r="133" spans="1:11" x14ac:dyDescent="0.25">
      <c r="A133" s="1283" t="s">
        <v>891</v>
      </c>
      <c r="B133" s="1283"/>
      <c r="C133" s="1283"/>
      <c r="D133" s="411"/>
      <c r="E133" s="475">
        <f>E97</f>
        <v>6</v>
      </c>
      <c r="F133" s="411">
        <v>1.19</v>
      </c>
      <c r="G133" s="411">
        <f>E133*F133</f>
        <v>7.14</v>
      </c>
      <c r="H133" s="1282">
        <f t="shared" si="5"/>
        <v>0.59499999999999997</v>
      </c>
      <c r="I133" s="1282"/>
      <c r="J133" s="414" t="s">
        <v>853</v>
      </c>
    </row>
    <row r="134" spans="1:11" x14ac:dyDescent="0.25">
      <c r="A134" s="1283" t="s">
        <v>898</v>
      </c>
      <c r="B134" s="1283"/>
      <c r="C134" s="1283"/>
      <c r="D134" s="475">
        <f>E99</f>
        <v>30</v>
      </c>
      <c r="E134" s="411">
        <v>0.5</v>
      </c>
      <c r="F134" s="411">
        <v>18.100000000000001</v>
      </c>
      <c r="G134" s="411">
        <f t="shared" si="4"/>
        <v>271.5</v>
      </c>
      <c r="H134" s="1282">
        <f t="shared" si="5"/>
        <v>22.625</v>
      </c>
      <c r="I134" s="1282"/>
      <c r="J134" s="473" t="s">
        <v>856</v>
      </c>
    </row>
    <row r="135" spans="1:11" x14ac:dyDescent="0.25">
      <c r="A135" s="1283" t="s">
        <v>892</v>
      </c>
      <c r="B135" s="1283"/>
      <c r="C135" s="1283"/>
      <c r="D135" s="411"/>
      <c r="E135" s="475">
        <f>E102</f>
        <v>2</v>
      </c>
      <c r="F135" s="411">
        <v>5.74</v>
      </c>
      <c r="G135" s="411">
        <f>E135*F135</f>
        <v>11.48</v>
      </c>
      <c r="H135" s="1282">
        <f t="shared" si="5"/>
        <v>0.95666666666666667</v>
      </c>
      <c r="I135" s="1282"/>
      <c r="J135" s="473" t="s">
        <v>863</v>
      </c>
    </row>
    <row r="136" spans="1:11" x14ac:dyDescent="0.25">
      <c r="A136" s="1283" t="s">
        <v>892</v>
      </c>
      <c r="B136" s="1283"/>
      <c r="C136" s="1283"/>
      <c r="D136" s="411"/>
      <c r="E136" s="475">
        <f>E103</f>
        <v>2</v>
      </c>
      <c r="F136" s="411">
        <v>5.74</v>
      </c>
      <c r="G136" s="411">
        <f t="shared" ref="G136:G139" si="6">E136*F136</f>
        <v>11.48</v>
      </c>
      <c r="H136" s="1282">
        <f t="shared" si="5"/>
        <v>0.95666666666666667</v>
      </c>
      <c r="I136" s="1282"/>
      <c r="J136" s="473" t="s">
        <v>865</v>
      </c>
    </row>
    <row r="137" spans="1:11" x14ac:dyDescent="0.25">
      <c r="A137" s="1283" t="s">
        <v>893</v>
      </c>
      <c r="B137" s="1283"/>
      <c r="C137" s="1283"/>
      <c r="D137" s="620"/>
      <c r="E137" s="638">
        <f>E106</f>
        <v>4</v>
      </c>
      <c r="F137" s="512">
        <v>40.47</v>
      </c>
      <c r="G137" s="411">
        <f t="shared" si="6"/>
        <v>161.88</v>
      </c>
      <c r="H137" s="1282">
        <f t="shared" si="5"/>
        <v>13.49</v>
      </c>
      <c r="I137" s="1282"/>
      <c r="J137" s="473" t="s">
        <v>894</v>
      </c>
    </row>
    <row r="138" spans="1:11" x14ac:dyDescent="0.25">
      <c r="A138" s="1283" t="s">
        <v>895</v>
      </c>
      <c r="B138" s="1283"/>
      <c r="C138" s="1283"/>
      <c r="D138" s="1402">
        <f>E117</f>
        <v>0</v>
      </c>
      <c r="E138" s="411"/>
      <c r="F138" s="411"/>
      <c r="G138" s="411">
        <f t="shared" si="6"/>
        <v>0</v>
      </c>
      <c r="H138" s="1282">
        <f t="shared" si="5"/>
        <v>0</v>
      </c>
      <c r="I138" s="1282"/>
      <c r="J138" s="1241" t="s">
        <v>879</v>
      </c>
    </row>
    <row r="139" spans="1:11" x14ac:dyDescent="0.25">
      <c r="A139" s="1283" t="s">
        <v>896</v>
      </c>
      <c r="B139" s="1283"/>
      <c r="C139" s="1283"/>
      <c r="D139" s="1241"/>
      <c r="E139" s="475">
        <f>E109</f>
        <v>6</v>
      </c>
      <c r="F139" s="411">
        <v>30.98</v>
      </c>
      <c r="G139" s="411">
        <f t="shared" si="6"/>
        <v>185.88</v>
      </c>
      <c r="H139" s="1396">
        <f t="shared" si="5"/>
        <v>15.49</v>
      </c>
      <c r="I139" s="1396"/>
      <c r="J139" s="1241"/>
    </row>
    <row r="140" spans="1:11" x14ac:dyDescent="0.25">
      <c r="A140" s="1399" t="s">
        <v>897</v>
      </c>
      <c r="B140" s="1399"/>
      <c r="C140" s="1399"/>
      <c r="D140" s="212"/>
      <c r="E140" s="212"/>
      <c r="F140" s="212"/>
      <c r="G140" s="212"/>
      <c r="H140" s="1400">
        <f>SUM(H129:H139)</f>
        <v>182.28416666666669</v>
      </c>
      <c r="I140" s="1401"/>
      <c r="J140" s="212"/>
    </row>
    <row r="141" spans="1:11" x14ac:dyDescent="0.25">
      <c r="A141" s="669" t="s">
        <v>910</v>
      </c>
      <c r="B141" s="669"/>
      <c r="C141" s="669"/>
      <c r="D141" s="669"/>
      <c r="E141" s="669"/>
      <c r="F141" s="669"/>
      <c r="G141" s="669"/>
      <c r="H141" s="669"/>
      <c r="I141" s="669"/>
    </row>
    <row r="142" spans="1:11" ht="90" x14ac:dyDescent="0.25">
      <c r="A142" s="670" t="s">
        <v>12</v>
      </c>
      <c r="B142" s="1397" t="s">
        <v>911</v>
      </c>
      <c r="C142" s="1397"/>
      <c r="D142" s="1397"/>
      <c r="E142" s="1397"/>
      <c r="F142" s="1397"/>
      <c r="G142" s="1397"/>
      <c r="H142" s="670" t="s">
        <v>912</v>
      </c>
      <c r="I142" s="670" t="s">
        <v>913</v>
      </c>
    </row>
    <row r="143" spans="1:11" x14ac:dyDescent="0.25">
      <c r="A143" s="671">
        <v>1</v>
      </c>
      <c r="B143" s="1398" t="s">
        <v>943</v>
      </c>
      <c r="C143" s="1398"/>
      <c r="D143" s="1398"/>
      <c r="E143" s="1398"/>
      <c r="F143" s="1398"/>
      <c r="G143" s="1398"/>
      <c r="H143" s="245">
        <v>5921.05</v>
      </c>
      <c r="I143" s="245">
        <f>ROUND(H143/12,2)</f>
        <v>493.42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9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Дніпра7</v>
      </c>
      <c r="F1" s="1167" t="s">
        <v>209</v>
      </c>
      <c r="G1" s="1167"/>
      <c r="H1" s="1167"/>
      <c r="I1" s="1167"/>
    </row>
    <row r="2" spans="1:10" x14ac:dyDescent="0.25">
      <c r="F2" s="1167" t="s">
        <v>104</v>
      </c>
      <c r="G2" s="1167"/>
      <c r="H2" s="1167"/>
      <c r="I2" s="1167"/>
    </row>
    <row r="3" spans="1:10" x14ac:dyDescent="0.25">
      <c r="F3" s="1171" t="s">
        <v>629</v>
      </c>
      <c r="G3" s="1171"/>
      <c r="H3" s="1171"/>
      <c r="I3" s="1171"/>
    </row>
    <row r="4" spans="1:10" x14ac:dyDescent="0.25">
      <c r="F4" s="252"/>
      <c r="G4" s="253"/>
      <c r="H4" s="1168" t="s">
        <v>288</v>
      </c>
      <c r="I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0" x14ac:dyDescent="0.25">
      <c r="A7" s="151"/>
      <c r="B7" s="1169" t="s">
        <v>918</v>
      </c>
      <c r="C7" s="1453"/>
      <c r="D7" s="1453"/>
      <c r="E7" s="1454"/>
      <c r="F7" s="1454"/>
      <c r="G7" s="1454"/>
      <c r="H7" s="1454"/>
      <c r="I7" s="1454"/>
    </row>
    <row r="8" spans="1:10" ht="15.75" x14ac:dyDescent="0.25">
      <c r="A8" s="151"/>
      <c r="B8" s="486"/>
      <c r="C8" s="183"/>
      <c r="D8" s="183"/>
      <c r="E8" s="151"/>
      <c r="F8" s="151"/>
      <c r="G8" s="151"/>
      <c r="H8" s="151"/>
      <c r="I8" s="151"/>
    </row>
    <row r="9" spans="1:10" x14ac:dyDescent="0.25">
      <c r="A9" s="1455" t="s">
        <v>917</v>
      </c>
      <c r="B9" s="1456"/>
      <c r="C9" s="1456"/>
      <c r="D9" s="1456"/>
      <c r="E9" s="1456"/>
      <c r="F9" s="1456"/>
      <c r="G9" s="1456"/>
      <c r="H9" s="1456"/>
      <c r="I9" s="1456"/>
    </row>
    <row r="10" spans="1:10" ht="25.5" x14ac:dyDescent="0.25">
      <c r="A10" s="487" t="s">
        <v>211</v>
      </c>
      <c r="B10" s="1457" t="s">
        <v>212</v>
      </c>
      <c r="C10" s="1458"/>
      <c r="D10" s="1459"/>
      <c r="E10" s="488" t="s">
        <v>213</v>
      </c>
      <c r="F10" s="1460" t="s">
        <v>214</v>
      </c>
      <c r="G10" s="1461"/>
      <c r="H10" s="1462" t="s">
        <v>484</v>
      </c>
      <c r="I10" s="1463"/>
    </row>
    <row r="11" spans="1:10" x14ac:dyDescent="0.25">
      <c r="A11" s="220">
        <v>1</v>
      </c>
      <c r="B11" s="1430" t="s">
        <v>655</v>
      </c>
      <c r="C11" s="1431"/>
      <c r="D11" s="1432"/>
      <c r="E11" s="472" t="s">
        <v>177</v>
      </c>
      <c r="F11" s="1449">
        <f>H11*12</f>
        <v>1648.3186943999999</v>
      </c>
      <c r="G11" s="1450"/>
      <c r="H11" s="1451">
        <f>I37</f>
        <v>137.35989119999999</v>
      </c>
      <c r="I11" s="1452"/>
    </row>
    <row r="12" spans="1:10" ht="30" customHeight="1" x14ac:dyDescent="0.25">
      <c r="A12" s="152">
        <v>2</v>
      </c>
      <c r="B12" s="1430" t="s">
        <v>903</v>
      </c>
      <c r="C12" s="1431"/>
      <c r="D12" s="1432"/>
      <c r="E12" s="472" t="s">
        <v>177</v>
      </c>
      <c r="F12" s="1449">
        <f>H12*12</f>
        <v>362.630112768</v>
      </c>
      <c r="G12" s="1450"/>
      <c r="H12" s="1451">
        <f>I36*розрахунок!D13/100</f>
        <v>30.219176063999999</v>
      </c>
      <c r="I12" s="1452"/>
    </row>
    <row r="13" spans="1:10" x14ac:dyDescent="0.25">
      <c r="A13" s="220">
        <v>3</v>
      </c>
      <c r="B13" s="1430" t="s">
        <v>495</v>
      </c>
      <c r="C13" s="1431"/>
      <c r="D13" s="1432"/>
      <c r="E13" s="472" t="s">
        <v>177</v>
      </c>
      <c r="F13" s="1449">
        <f>H13*12</f>
        <v>1291.312084938952</v>
      </c>
      <c r="G13" s="1450"/>
      <c r="H13" s="1451">
        <f>H44</f>
        <v>107.60934041157932</v>
      </c>
      <c r="I13" s="1452"/>
    </row>
    <row r="14" spans="1:10" x14ac:dyDescent="0.25">
      <c r="A14" s="220">
        <v>4</v>
      </c>
      <c r="B14" s="1430" t="s">
        <v>633</v>
      </c>
      <c r="C14" s="1431"/>
      <c r="D14" s="1432"/>
      <c r="E14" s="472" t="s">
        <v>177</v>
      </c>
      <c r="F14" s="1449">
        <f>H14*12</f>
        <v>29.080333333333328</v>
      </c>
      <c r="G14" s="1450"/>
      <c r="H14" s="1451">
        <f>інвентар!I13</f>
        <v>2.4233611111111109</v>
      </c>
      <c r="I14" s="1452"/>
    </row>
    <row r="15" spans="1:10" x14ac:dyDescent="0.25">
      <c r="A15" s="220">
        <v>5</v>
      </c>
      <c r="B15" s="1430" t="s">
        <v>482</v>
      </c>
      <c r="C15" s="1431"/>
      <c r="D15" s="1432"/>
      <c r="E15" s="472" t="s">
        <v>177</v>
      </c>
      <c r="F15" s="1449">
        <f>H15*12</f>
        <v>0</v>
      </c>
      <c r="G15" s="1450"/>
      <c r="H15" s="1451">
        <v>0</v>
      </c>
      <c r="I15" s="1452"/>
    </row>
    <row r="16" spans="1:10" hidden="1" x14ac:dyDescent="0.25">
      <c r="A16" s="220">
        <v>6</v>
      </c>
      <c r="B16" s="1430" t="s">
        <v>656</v>
      </c>
      <c r="C16" s="1431"/>
      <c r="D16" s="1432"/>
      <c r="E16" s="472" t="s">
        <v>164</v>
      </c>
      <c r="F16" s="1441">
        <f>[1]Таблица_Характеристика!N94</f>
        <v>0</v>
      </c>
      <c r="G16" s="1442"/>
      <c r="H16" s="1443"/>
      <c r="I16" s="1444"/>
    </row>
    <row r="17" spans="1:9" hidden="1" x14ac:dyDescent="0.25">
      <c r="A17" s="220">
        <v>7</v>
      </c>
      <c r="B17" s="1430" t="s">
        <v>657</v>
      </c>
      <c r="C17" s="1431"/>
      <c r="D17" s="1432"/>
      <c r="E17" s="472" t="s">
        <v>164</v>
      </c>
      <c r="F17" s="1441">
        <f>розрахунок!D11</f>
        <v>1100</v>
      </c>
      <c r="G17" s="1442"/>
      <c r="H17" s="1443"/>
      <c r="I17" s="1444"/>
    </row>
    <row r="18" spans="1:9" x14ac:dyDescent="0.25">
      <c r="A18" s="220">
        <v>8</v>
      </c>
      <c r="B18" s="1430" t="s">
        <v>658</v>
      </c>
      <c r="C18" s="1431"/>
      <c r="D18" s="1432"/>
      <c r="E18" s="472" t="s">
        <v>164</v>
      </c>
      <c r="F18" s="1441">
        <f>Характеристика!N83</f>
        <v>70</v>
      </c>
      <c r="G18" s="1442"/>
      <c r="H18" s="1443"/>
      <c r="I18" s="1444"/>
    </row>
    <row r="19" spans="1:9" x14ac:dyDescent="0.25">
      <c r="A19" s="220">
        <v>9</v>
      </c>
      <c r="B19" s="1430" t="s">
        <v>659</v>
      </c>
      <c r="C19" s="1431"/>
      <c r="D19" s="1432"/>
      <c r="E19" s="472" t="s">
        <v>164</v>
      </c>
      <c r="F19" s="1441">
        <f>розрахунок!D12</f>
        <v>5000</v>
      </c>
      <c r="G19" s="1442"/>
      <c r="H19" s="1443"/>
      <c r="I19" s="1444"/>
    </row>
    <row r="20" spans="1:9" ht="25.9" hidden="1" customHeight="1" x14ac:dyDescent="0.25">
      <c r="A20" s="220">
        <v>10</v>
      </c>
      <c r="B20" s="1430" t="s">
        <v>634</v>
      </c>
      <c r="C20" s="1431"/>
      <c r="D20" s="1432"/>
      <c r="E20" s="472" t="s">
        <v>177</v>
      </c>
      <c r="F20" s="1445">
        <f>H20*12</f>
        <v>0</v>
      </c>
      <c r="G20" s="1446"/>
      <c r="H20" s="1447"/>
      <c r="I20" s="1448"/>
    </row>
    <row r="21" spans="1:9" ht="27.6" hidden="1" customHeight="1" x14ac:dyDescent="0.25">
      <c r="A21" s="220">
        <v>11</v>
      </c>
      <c r="B21" s="1430" t="s">
        <v>635</v>
      </c>
      <c r="C21" s="1431"/>
      <c r="D21" s="1432"/>
      <c r="E21" s="472" t="s">
        <v>177</v>
      </c>
      <c r="F21" s="1433">
        <f>H21*12</f>
        <v>0</v>
      </c>
      <c r="G21" s="1434"/>
      <c r="H21" s="1435"/>
      <c r="I21" s="1436"/>
    </row>
    <row r="22" spans="1:9" ht="44.45" hidden="1" customHeight="1" x14ac:dyDescent="0.25">
      <c r="A22" s="220">
        <v>12</v>
      </c>
      <c r="B22" s="1430" t="s">
        <v>636</v>
      </c>
      <c r="C22" s="1431"/>
      <c r="D22" s="1432"/>
      <c r="E22" s="472" t="s">
        <v>177</v>
      </c>
      <c r="F22" s="1437">
        <f>F16*F20+F18*F21</f>
        <v>0</v>
      </c>
      <c r="G22" s="1438"/>
      <c r="H22" s="1439">
        <f>F22/12</f>
        <v>0</v>
      </c>
      <c r="I22" s="1440"/>
    </row>
    <row r="23" spans="1:9" x14ac:dyDescent="0.25">
      <c r="A23" s="220">
        <v>10</v>
      </c>
      <c r="B23" s="1425" t="s">
        <v>660</v>
      </c>
      <c r="C23" s="1426"/>
      <c r="D23" s="1427"/>
      <c r="E23" s="490" t="s">
        <v>177</v>
      </c>
      <c r="F23" s="1428">
        <f>F11+F12+F13+F14+F15</f>
        <v>3331.3412254402851</v>
      </c>
      <c r="G23" s="1429"/>
      <c r="H23" s="1428">
        <f>H11+H12+H13+H14+H15</f>
        <v>277.61176878669045</v>
      </c>
      <c r="I23" s="1429"/>
    </row>
    <row r="24" spans="1:9" s="258" customFormat="1" ht="22.15" customHeight="1" x14ac:dyDescent="0.25">
      <c r="A24" s="152">
        <v>11</v>
      </c>
      <c r="B24" s="1406" t="s">
        <v>119</v>
      </c>
      <c r="C24" s="1407"/>
      <c r="D24" s="1408"/>
      <c r="E24" s="481" t="s">
        <v>637</v>
      </c>
      <c r="F24" s="1409">
        <f>Характеристика!N18</f>
        <v>2981.4</v>
      </c>
      <c r="G24" s="1410"/>
      <c r="H24" s="1410"/>
      <c r="I24" s="1411"/>
    </row>
    <row r="25" spans="1:9" x14ac:dyDescent="0.25">
      <c r="A25" s="220">
        <v>12</v>
      </c>
      <c r="B25" s="1265" t="s">
        <v>493</v>
      </c>
      <c r="C25" s="1412"/>
      <c r="D25" s="1413"/>
      <c r="E25" s="220" t="s">
        <v>177</v>
      </c>
      <c r="F25" s="1414">
        <f>H23/F24</f>
        <v>9.3114566574995117E-2</v>
      </c>
      <c r="G25" s="1415"/>
      <c r="H25" s="1415"/>
      <c r="I25" s="1416"/>
    </row>
    <row r="26" spans="1:9" x14ac:dyDescent="0.25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25">
      <c r="A27" s="183" t="s">
        <v>638</v>
      </c>
      <c r="B27" s="183" t="s">
        <v>639</v>
      </c>
      <c r="C27" s="151"/>
      <c r="D27" s="151"/>
      <c r="E27" s="151"/>
      <c r="F27" s="151"/>
      <c r="G27" s="151"/>
      <c r="H27" s="151"/>
      <c r="I27" s="151"/>
    </row>
    <row r="28" spans="1:9" ht="26.25" x14ac:dyDescent="0.25">
      <c r="A28" s="487" t="s">
        <v>211</v>
      </c>
      <c r="B28" s="1417" t="s">
        <v>640</v>
      </c>
      <c r="C28" s="1417"/>
      <c r="D28" s="1151"/>
      <c r="E28" s="1151"/>
      <c r="F28" s="1151"/>
      <c r="G28" s="1151"/>
      <c r="H28" s="491" t="s">
        <v>213</v>
      </c>
      <c r="I28" s="152" t="s">
        <v>641</v>
      </c>
    </row>
    <row r="29" spans="1:9" hidden="1" x14ac:dyDescent="0.25">
      <c r="A29" s="414">
        <v>1</v>
      </c>
      <c r="B29" s="1418" t="s">
        <v>642</v>
      </c>
      <c r="C29" s="1418"/>
      <c r="D29" s="1151"/>
      <c r="E29" s="1151"/>
      <c r="F29" s="1151"/>
      <c r="G29" s="1151"/>
      <c r="H29" s="414" t="s">
        <v>164</v>
      </c>
      <c r="I29" s="492">
        <v>1100</v>
      </c>
    </row>
    <row r="30" spans="1:9" ht="39.6" customHeight="1" x14ac:dyDescent="0.25">
      <c r="A30" s="414">
        <v>2</v>
      </c>
      <c r="B30" s="1418" t="s">
        <v>643</v>
      </c>
      <c r="C30" s="1418"/>
      <c r="D30" s="1151"/>
      <c r="E30" s="1151"/>
      <c r="F30" s="1151"/>
      <c r="G30" s="1151"/>
      <c r="H30" s="414" t="s">
        <v>164</v>
      </c>
      <c r="I30" s="492">
        <v>5000</v>
      </c>
    </row>
    <row r="31" spans="1:9" x14ac:dyDescent="0.25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25">
      <c r="A32" s="183" t="s">
        <v>518</v>
      </c>
      <c r="B32" s="183" t="s">
        <v>644</v>
      </c>
      <c r="C32" s="151"/>
      <c r="D32" s="151"/>
      <c r="E32" s="151"/>
      <c r="F32" s="151"/>
      <c r="G32" s="151"/>
      <c r="H32" s="151"/>
      <c r="I32" s="151"/>
    </row>
    <row r="33" spans="1:9" ht="140.25" x14ac:dyDescent="0.25">
      <c r="A33" s="1419" t="s">
        <v>645</v>
      </c>
      <c r="B33" s="1223"/>
      <c r="C33" s="493" t="s">
        <v>646</v>
      </c>
      <c r="D33" s="494" t="s">
        <v>647</v>
      </c>
      <c r="E33" s="261" t="s">
        <v>613</v>
      </c>
      <c r="F33" s="495" t="s">
        <v>648</v>
      </c>
      <c r="G33" s="261" t="s">
        <v>649</v>
      </c>
      <c r="H33" s="261" t="s">
        <v>615</v>
      </c>
      <c r="I33" s="261" t="s">
        <v>942</v>
      </c>
    </row>
    <row r="34" spans="1:9" x14ac:dyDescent="0.25">
      <c r="A34" s="1420">
        <v>1</v>
      </c>
      <c r="B34" s="1223"/>
      <c r="C34" s="493">
        <v>2</v>
      </c>
      <c r="D34" s="496">
        <v>3</v>
      </c>
      <c r="E34" s="496">
        <v>4</v>
      </c>
      <c r="F34" s="497">
        <v>5</v>
      </c>
      <c r="G34" s="496">
        <v>6</v>
      </c>
      <c r="H34" s="496">
        <v>7</v>
      </c>
      <c r="I34" s="498">
        <v>8</v>
      </c>
    </row>
    <row r="35" spans="1:9" ht="48" hidden="1" customHeight="1" x14ac:dyDescent="0.25">
      <c r="A35" s="1421" t="s">
        <v>650</v>
      </c>
      <c r="B35" s="1422"/>
      <c r="C35" s="499">
        <f>F16*0</f>
        <v>0</v>
      </c>
      <c r="D35" s="500">
        <f>F17</f>
        <v>1100</v>
      </c>
      <c r="E35" s="501">
        <f>C35/D35</f>
        <v>0</v>
      </c>
      <c r="F35" s="426">
        <f>оклади!K11</f>
        <v>8058</v>
      </c>
      <c r="G35" s="426">
        <f>E35*F35</f>
        <v>0</v>
      </c>
      <c r="H35" s="426">
        <f>G36*[1]Штатное!F35/100</f>
        <v>0</v>
      </c>
      <c r="I35" s="426">
        <f>G35*1.082+H35</f>
        <v>0</v>
      </c>
    </row>
    <row r="36" spans="1:9" x14ac:dyDescent="0.25">
      <c r="A36" s="1423" t="s">
        <v>651</v>
      </c>
      <c r="B36" s="1424"/>
      <c r="C36" s="499">
        <f>F18</f>
        <v>70</v>
      </c>
      <c r="D36" s="500">
        <f>I30</f>
        <v>5000</v>
      </c>
      <c r="E36" s="501">
        <f>ROUND(C36/D36,3)</f>
        <v>1.4E-2</v>
      </c>
      <c r="F36" s="426">
        <f>оклади!K11</f>
        <v>8058</v>
      </c>
      <c r="G36" s="426">
        <f>E36*F36</f>
        <v>112.812</v>
      </c>
      <c r="H36" s="426">
        <f>G36*0.15</f>
        <v>16.921799999999998</v>
      </c>
      <c r="I36" s="426">
        <f>G36*1.0676+H36</f>
        <v>137.35989119999999</v>
      </c>
    </row>
    <row r="37" spans="1:9" x14ac:dyDescent="0.25">
      <c r="A37" s="1404" t="s">
        <v>217</v>
      </c>
      <c r="B37" s="1405"/>
      <c r="C37" s="502"/>
      <c r="D37" s="502"/>
      <c r="E37" s="503">
        <f>SUM(E35:E36)</f>
        <v>1.4E-2</v>
      </c>
      <c r="F37" s="428"/>
      <c r="G37" s="504">
        <f>SUM(G35:G36)</f>
        <v>112.812</v>
      </c>
      <c r="H37" s="504">
        <f>SUM(H35:H36)</f>
        <v>16.921799999999998</v>
      </c>
      <c r="I37" s="504">
        <f>SUM(I35:I36)</f>
        <v>137.35989119999999</v>
      </c>
    </row>
    <row r="38" spans="1:9" x14ac:dyDescent="0.25">
      <c r="A38" s="505"/>
      <c r="B38" s="506"/>
      <c r="C38" s="506"/>
      <c r="D38" s="506"/>
      <c r="E38" s="506"/>
      <c r="F38" s="506"/>
      <c r="G38" s="506"/>
      <c r="H38" s="506"/>
      <c r="I38" s="506"/>
    </row>
    <row r="39" spans="1:9" x14ac:dyDescent="0.25">
      <c r="A39" s="1246" t="s">
        <v>652</v>
      </c>
      <c r="B39" s="1403"/>
      <c r="C39" s="1403"/>
      <c r="D39" s="1403"/>
      <c r="E39" s="1403"/>
      <c r="F39" s="1403"/>
      <c r="G39" s="1403"/>
      <c r="H39" s="1403"/>
      <c r="I39" s="1403"/>
    </row>
    <row r="40" spans="1:9" ht="60" x14ac:dyDescent="0.25">
      <c r="A40" s="1248" t="s">
        <v>271</v>
      </c>
      <c r="B40" s="1249"/>
      <c r="C40" s="231" t="s">
        <v>272</v>
      </c>
      <c r="D40" s="231" t="s">
        <v>488</v>
      </c>
      <c r="E40" s="231" t="s">
        <v>274</v>
      </c>
      <c r="F40" s="1248" t="s">
        <v>653</v>
      </c>
      <c r="G40" s="741"/>
      <c r="H40" s="1248" t="s">
        <v>654</v>
      </c>
      <c r="I40" s="1250"/>
    </row>
    <row r="41" spans="1:9" x14ac:dyDescent="0.25">
      <c r="A41" s="1248">
        <v>1</v>
      </c>
      <c r="B41" s="1249"/>
      <c r="C41" s="231">
        <v>2</v>
      </c>
      <c r="D41" s="231">
        <v>3</v>
      </c>
      <c r="E41" s="231">
        <v>4</v>
      </c>
      <c r="F41" s="1248">
        <v>5</v>
      </c>
      <c r="G41" s="741"/>
      <c r="H41" s="1248">
        <v>6</v>
      </c>
      <c r="I41" s="1250"/>
    </row>
    <row r="42" spans="1:9" ht="41.45" customHeight="1" x14ac:dyDescent="0.25">
      <c r="A42" s="1271" t="s">
        <v>277</v>
      </c>
      <c r="B42" s="1271"/>
      <c r="C42" s="404">
        <f>прибирання!C49</f>
        <v>1845170</v>
      </c>
      <c r="D42" s="243">
        <f>прибирання!D49</f>
        <v>4483062</v>
      </c>
      <c r="E42" s="477">
        <f>C42/D42*100</f>
        <v>41.158699121270239</v>
      </c>
      <c r="F42" s="1252">
        <f>I37</f>
        <v>137.35989119999999</v>
      </c>
      <c r="G42" s="741"/>
      <c r="H42" s="1252">
        <f>E42*F42/100</f>
        <v>56.535544332312156</v>
      </c>
      <c r="I42" s="840"/>
    </row>
    <row r="43" spans="1:9" ht="22.15" customHeight="1" x14ac:dyDescent="0.25">
      <c r="A43" s="1271" t="s">
        <v>278</v>
      </c>
      <c r="B43" s="1271"/>
      <c r="C43" s="404">
        <f>прибирання!C50</f>
        <v>3447871</v>
      </c>
      <c r="D43" s="243">
        <f>прибирання!D50</f>
        <v>15293041.959999999</v>
      </c>
      <c r="E43" s="477">
        <f>C43/D43*100</f>
        <v>22.54535761438531</v>
      </c>
      <c r="F43" s="1252">
        <f>H42+H11+H12+H14</f>
        <v>226.53797270742328</v>
      </c>
      <c r="G43" s="741"/>
      <c r="H43" s="1252">
        <f>E43*F43/100</f>
        <v>51.073796079267169</v>
      </c>
      <c r="I43" s="840"/>
    </row>
    <row r="44" spans="1:9" ht="40.15" customHeight="1" x14ac:dyDescent="0.25">
      <c r="A44" s="1273" t="s">
        <v>279</v>
      </c>
      <c r="B44" s="1273"/>
      <c r="C44" s="405"/>
      <c r="D44" s="406"/>
      <c r="E44" s="478"/>
      <c r="F44" s="1258"/>
      <c r="G44" s="741"/>
      <c r="H44" s="1258">
        <f>SUM(H42:H43)</f>
        <v>107.60934041157932</v>
      </c>
      <c r="I44" s="840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6" zoomScaleNormal="100" workbookViewId="0">
      <selection activeCell="G30" sqref="G30"/>
    </sheetView>
  </sheetViews>
  <sheetFormatPr defaultRowHeight="15" x14ac:dyDescent="0.25"/>
  <cols>
    <col min="6" max="6" width="9.5703125" customWidth="1"/>
    <col min="7" max="7" width="11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Дніпра7</v>
      </c>
      <c r="F1" s="1167" t="s">
        <v>209</v>
      </c>
      <c r="G1" s="1167"/>
      <c r="H1" s="1167"/>
      <c r="I1" s="1167"/>
    </row>
    <row r="2" spans="1:10" x14ac:dyDescent="0.25">
      <c r="F2" s="1167" t="s">
        <v>104</v>
      </c>
      <c r="G2" s="1167"/>
      <c r="H2" s="1167"/>
      <c r="I2" s="1167"/>
    </row>
    <row r="3" spans="1:10" x14ac:dyDescent="0.25">
      <c r="F3" s="1171" t="s">
        <v>629</v>
      </c>
      <c r="G3" s="1171"/>
      <c r="H3" s="1171"/>
      <c r="I3" s="1171"/>
    </row>
    <row r="4" spans="1:10" x14ac:dyDescent="0.25">
      <c r="F4" s="252"/>
      <c r="G4" s="253"/>
      <c r="H4" s="1168" t="s">
        <v>288</v>
      </c>
      <c r="I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537"/>
    </row>
    <row r="7" spans="1:10" ht="63" customHeight="1" x14ac:dyDescent="0.25">
      <c r="A7" s="1464" t="s">
        <v>670</v>
      </c>
      <c r="B7" s="1464"/>
      <c r="C7" s="1464"/>
      <c r="D7" s="1464"/>
      <c r="E7" s="1464"/>
      <c r="F7" s="1464"/>
      <c r="G7" s="1464"/>
      <c r="H7" s="1464"/>
      <c r="I7" s="1464"/>
    </row>
    <row r="9" spans="1:10" ht="26.25" x14ac:dyDescent="0.25">
      <c r="A9" s="1417" t="s">
        <v>661</v>
      </c>
      <c r="B9" s="1417"/>
      <c r="C9" s="1417"/>
      <c r="D9" s="1417"/>
      <c r="E9" s="741"/>
      <c r="F9" s="741"/>
      <c r="G9" s="491" t="s">
        <v>213</v>
      </c>
      <c r="H9" s="184" t="s">
        <v>214</v>
      </c>
      <c r="I9" s="184" t="s">
        <v>484</v>
      </c>
    </row>
    <row r="10" spans="1:10" ht="29.45" customHeight="1" x14ac:dyDescent="0.25">
      <c r="A10" s="1418" t="s">
        <v>671</v>
      </c>
      <c r="B10" s="1418"/>
      <c r="C10" s="1418"/>
      <c r="D10" s="1418"/>
      <c r="E10" s="741"/>
      <c r="F10" s="741"/>
      <c r="G10" s="473" t="s">
        <v>177</v>
      </c>
      <c r="H10" s="511">
        <f>F33</f>
        <v>7084</v>
      </c>
      <c r="I10" s="511">
        <f>ROUND(H10/12,2)</f>
        <v>590.33000000000004</v>
      </c>
    </row>
    <row r="11" spans="1:10" ht="28.15" customHeight="1" x14ac:dyDescent="0.25">
      <c r="A11" s="1418" t="s">
        <v>296</v>
      </c>
      <c r="B11" s="1418"/>
      <c r="C11" s="1418"/>
      <c r="D11" s="1418"/>
      <c r="E11" s="741"/>
      <c r="F11" s="741"/>
      <c r="G11" s="473" t="s">
        <v>177</v>
      </c>
      <c r="H11" s="511">
        <f>I11*12</f>
        <v>1558.4712</v>
      </c>
      <c r="I11" s="511">
        <f>'поточ рем. констр.ел '!I10*розрахунок!D13/100</f>
        <v>129.87260000000001</v>
      </c>
    </row>
    <row r="12" spans="1:10" x14ac:dyDescent="0.25">
      <c r="A12" s="1418" t="s">
        <v>495</v>
      </c>
      <c r="B12" s="1418"/>
      <c r="C12" s="1418"/>
      <c r="D12" s="1418"/>
      <c r="E12" s="741"/>
      <c r="F12" s="741"/>
      <c r="G12" s="473" t="s">
        <v>177</v>
      </c>
      <c r="H12" s="511">
        <f>I12*12</f>
        <v>11889.41633852477</v>
      </c>
      <c r="I12" s="511">
        <f>I24</f>
        <v>990.78469487706411</v>
      </c>
    </row>
    <row r="13" spans="1:10" x14ac:dyDescent="0.25">
      <c r="A13" s="1418" t="s">
        <v>633</v>
      </c>
      <c r="B13" s="1418"/>
      <c r="C13" s="1418"/>
      <c r="D13" s="1418"/>
      <c r="E13" s="741"/>
      <c r="F13" s="741"/>
      <c r="G13" s="473" t="s">
        <v>177</v>
      </c>
      <c r="H13" s="511">
        <f>G33</f>
        <v>28245</v>
      </c>
      <c r="I13" s="511">
        <f>H13/12</f>
        <v>2353.75</v>
      </c>
    </row>
    <row r="14" spans="1:10" x14ac:dyDescent="0.25">
      <c r="A14" s="1466" t="s">
        <v>662</v>
      </c>
      <c r="B14" s="1151"/>
      <c r="C14" s="1151"/>
      <c r="D14" s="1151"/>
      <c r="E14" s="741"/>
      <c r="F14" s="741"/>
      <c r="G14" s="473" t="s">
        <v>177</v>
      </c>
      <c r="H14" s="489">
        <f>I33</f>
        <v>0</v>
      </c>
      <c r="I14" s="512">
        <f>H14/12</f>
        <v>0</v>
      </c>
    </row>
    <row r="15" spans="1:10" x14ac:dyDescent="0.25">
      <c r="A15" s="1392" t="s">
        <v>660</v>
      </c>
      <c r="B15" s="842"/>
      <c r="C15" s="842"/>
      <c r="D15" s="842"/>
      <c r="E15" s="842"/>
      <c r="F15" s="843"/>
      <c r="G15" s="220" t="s">
        <v>177</v>
      </c>
      <c r="H15" s="513">
        <f>SUM(H10:H14)</f>
        <v>48776.887538524767</v>
      </c>
      <c r="I15" s="514">
        <f>SUM(I10:I14)</f>
        <v>4064.7372948770644</v>
      </c>
    </row>
    <row r="16" spans="1:10" ht="14.45" customHeight="1" x14ac:dyDescent="0.25">
      <c r="A16" s="1406" t="s">
        <v>119</v>
      </c>
      <c r="B16" s="1467"/>
      <c r="C16" s="1467"/>
      <c r="D16" s="1467"/>
      <c r="E16" s="1467"/>
      <c r="F16" s="1468"/>
      <c r="G16" s="220" t="s">
        <v>177</v>
      </c>
      <c r="H16" s="1469">
        <f>Характеристика!N18</f>
        <v>2981.4</v>
      </c>
      <c r="I16" s="1200"/>
    </row>
    <row r="17" spans="1:9" x14ac:dyDescent="0.25">
      <c r="A17" s="1163" t="s">
        <v>493</v>
      </c>
      <c r="B17" s="1163"/>
      <c r="C17" s="1163"/>
      <c r="D17" s="1163"/>
      <c r="E17" s="741"/>
      <c r="F17" s="741"/>
      <c r="G17" s="220" t="s">
        <v>177</v>
      </c>
      <c r="H17" s="1470">
        <f>I15/H16</f>
        <v>1.3633652964637635</v>
      </c>
      <c r="I17" s="1302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5"/>
      <c r="B19" s="1465" t="s">
        <v>663</v>
      </c>
      <c r="C19" s="1453"/>
      <c r="D19" s="1453"/>
      <c r="E19" s="1453"/>
      <c r="F19" s="1453"/>
      <c r="G19" s="1453"/>
      <c r="H19" s="1453"/>
      <c r="I19" s="1453"/>
    </row>
    <row r="20" spans="1:9" ht="60" x14ac:dyDescent="0.25">
      <c r="A20" s="1222" t="s">
        <v>271</v>
      </c>
      <c r="B20" s="1277"/>
      <c r="C20" s="1222" t="s">
        <v>272</v>
      </c>
      <c r="D20" s="1277"/>
      <c r="E20" s="1222" t="s">
        <v>664</v>
      </c>
      <c r="F20" s="1277"/>
      <c r="G20" s="231" t="s">
        <v>274</v>
      </c>
      <c r="H20" s="232" t="s">
        <v>665</v>
      </c>
      <c r="I20" s="231" t="s">
        <v>666</v>
      </c>
    </row>
    <row r="21" spans="1:9" x14ac:dyDescent="0.25">
      <c r="A21" s="1222">
        <v>1</v>
      </c>
      <c r="B21" s="1275"/>
      <c r="C21" s="1222">
        <v>2</v>
      </c>
      <c r="D21" s="1277"/>
      <c r="E21" s="1222">
        <v>3</v>
      </c>
      <c r="F21" s="1277"/>
      <c r="G21" s="232">
        <v>4</v>
      </c>
      <c r="H21" s="232">
        <v>5</v>
      </c>
      <c r="I21" s="231">
        <v>6</v>
      </c>
    </row>
    <row r="22" spans="1:9" ht="33.6" customHeight="1" x14ac:dyDescent="0.25">
      <c r="A22" s="1278" t="s">
        <v>277</v>
      </c>
      <c r="B22" s="1279"/>
      <c r="C22" s="1272">
        <f>прибирання!C49</f>
        <v>1845170</v>
      </c>
      <c r="D22" s="1248"/>
      <c r="E22" s="1252">
        <f>прибирання!D49</f>
        <v>4483062</v>
      </c>
      <c r="F22" s="1252"/>
      <c r="G22" s="468">
        <f>C22/E22*100</f>
        <v>41.158699121270239</v>
      </c>
      <c r="H22" s="484">
        <f>I10</f>
        <v>590.33000000000004</v>
      </c>
      <c r="I22" s="243">
        <f>G22*H22/100</f>
        <v>242.97214852259461</v>
      </c>
    </row>
    <row r="23" spans="1:9" ht="33" customHeight="1" x14ac:dyDescent="0.25">
      <c r="A23" s="1278" t="s">
        <v>278</v>
      </c>
      <c r="B23" s="1279"/>
      <c r="C23" s="1272">
        <f>прибирання!C50</f>
        <v>3447871</v>
      </c>
      <c r="D23" s="1248"/>
      <c r="E23" s="1252">
        <f>прибирання!D50</f>
        <v>15293041.959999999</v>
      </c>
      <c r="F23" s="1252"/>
      <c r="G23" s="468">
        <f>C23/E23*100</f>
        <v>22.54535761438531</v>
      </c>
      <c r="H23" s="484">
        <f>I10+I11+I13+I14+I22</f>
        <v>3316.9247485225947</v>
      </c>
      <c r="I23" s="243">
        <f>G23*H23/100</f>
        <v>747.81254635446953</v>
      </c>
    </row>
    <row r="24" spans="1:9" ht="24.6" customHeight="1" x14ac:dyDescent="0.25">
      <c r="A24" s="1286" t="s">
        <v>279</v>
      </c>
      <c r="B24" s="1287"/>
      <c r="C24" s="1274"/>
      <c r="D24" s="1256"/>
      <c r="E24" s="1258"/>
      <c r="F24" s="1258"/>
      <c r="G24" s="469"/>
      <c r="H24" s="485"/>
      <c r="I24" s="406">
        <f>SUM(I22:I23)</f>
        <v>990.78469487706411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71" t="s">
        <v>667</v>
      </c>
      <c r="B26" s="1471"/>
      <c r="C26" s="1471"/>
      <c r="D26" s="1471"/>
      <c r="E26" s="1471"/>
      <c r="F26" s="1471"/>
      <c r="G26" s="1471"/>
      <c r="H26" s="785"/>
      <c r="I26" s="785"/>
    </row>
    <row r="27" spans="1:9" x14ac:dyDescent="0.25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38.25" x14ac:dyDescent="0.25">
      <c r="A28" s="184" t="s">
        <v>211</v>
      </c>
      <c r="B28" s="1356" t="s">
        <v>668</v>
      </c>
      <c r="C28" s="1412"/>
      <c r="D28" s="1413"/>
      <c r="E28" s="184" t="s">
        <v>213</v>
      </c>
      <c r="F28" s="184" t="s">
        <v>669</v>
      </c>
      <c r="G28" s="483" t="s">
        <v>947</v>
      </c>
      <c r="H28" s="517"/>
      <c r="I28" s="518"/>
    </row>
    <row r="29" spans="1:9" x14ac:dyDescent="0.25">
      <c r="A29" s="519">
        <v>1</v>
      </c>
      <c r="B29" s="1472">
        <v>2</v>
      </c>
      <c r="C29" s="1395"/>
      <c r="D29" s="1395"/>
      <c r="E29" s="519">
        <v>3</v>
      </c>
      <c r="F29" s="519">
        <v>4</v>
      </c>
      <c r="G29" s="520">
        <v>5</v>
      </c>
      <c r="H29" s="521"/>
      <c r="I29" s="522"/>
    </row>
    <row r="30" spans="1:9" x14ac:dyDescent="0.25">
      <c r="A30" s="519">
        <v>1</v>
      </c>
      <c r="B30" s="1473" t="s">
        <v>935</v>
      </c>
      <c r="C30" s="1412"/>
      <c r="D30" s="1413"/>
      <c r="E30" s="523" t="s">
        <v>177</v>
      </c>
      <c r="F30" s="524">
        <v>7084</v>
      </c>
      <c r="G30" s="525">
        <v>28245</v>
      </c>
      <c r="H30" s="526"/>
      <c r="I30" s="527"/>
    </row>
    <row r="31" spans="1:9" x14ac:dyDescent="0.25">
      <c r="A31" s="519">
        <v>2</v>
      </c>
      <c r="B31" s="1474"/>
      <c r="C31" s="1431"/>
      <c r="D31" s="1432"/>
      <c r="E31" s="528" t="s">
        <v>177</v>
      </c>
      <c r="F31" s="524"/>
      <c r="G31" s="525"/>
      <c r="H31" s="529"/>
      <c r="I31" s="530"/>
    </row>
    <row r="32" spans="1:9" x14ac:dyDescent="0.25">
      <c r="A32" s="531">
        <v>3</v>
      </c>
      <c r="B32" s="1475"/>
      <c r="C32" s="1458"/>
      <c r="D32" s="1459"/>
      <c r="E32" s="528" t="s">
        <v>177</v>
      </c>
      <c r="F32" s="524"/>
      <c r="G32" s="525"/>
      <c r="H32" s="529"/>
      <c r="I32" s="530"/>
    </row>
    <row r="33" spans="1:9" x14ac:dyDescent="0.25">
      <c r="A33" s="532"/>
      <c r="B33" s="1476" t="s">
        <v>217</v>
      </c>
      <c r="C33" s="1431"/>
      <c r="D33" s="1432"/>
      <c r="E33" s="533"/>
      <c r="F33" s="534">
        <f>SUM(F30:F32)</f>
        <v>7084</v>
      </c>
      <c r="G33" s="534">
        <f>SUM(G30:G32)</f>
        <v>28245</v>
      </c>
      <c r="H33" s="535"/>
      <c r="I33" s="536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5" zoomScale="60" zoomScaleNormal="100" workbookViewId="0">
      <selection activeCell="F31" sqref="F31:G31"/>
    </sheetView>
  </sheetViews>
  <sheetFormatPr defaultRowHeight="15" x14ac:dyDescent="0.25"/>
  <cols>
    <col min="6" max="6" width="15.85546875" customWidth="1"/>
    <col min="7" max="7" width="10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Дніпра7</v>
      </c>
      <c r="F1" s="1167" t="s">
        <v>209</v>
      </c>
      <c r="G1" s="1167"/>
      <c r="H1" s="1167"/>
      <c r="I1" s="1167"/>
    </row>
    <row r="2" spans="1:10" x14ac:dyDescent="0.25">
      <c r="F2" s="1167" t="s">
        <v>104</v>
      </c>
      <c r="G2" s="1167"/>
      <c r="H2" s="1167"/>
      <c r="I2" s="1167"/>
    </row>
    <row r="3" spans="1:10" x14ac:dyDescent="0.25">
      <c r="F3" s="1171" t="s">
        <v>629</v>
      </c>
      <c r="G3" s="1171"/>
      <c r="H3" s="1171"/>
      <c r="I3" s="1171"/>
    </row>
    <row r="4" spans="1:10" x14ac:dyDescent="0.25">
      <c r="F4" s="252"/>
      <c r="G4" s="253"/>
      <c r="H4" s="1168" t="s">
        <v>288</v>
      </c>
      <c r="I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537"/>
    </row>
    <row r="7" spans="1:10" ht="40.15" customHeight="1" x14ac:dyDescent="0.25">
      <c r="A7" s="1477" t="s">
        <v>919</v>
      </c>
      <c r="B7" s="1477"/>
      <c r="C7" s="1477"/>
      <c r="D7" s="1477"/>
      <c r="E7" s="1477"/>
      <c r="F7" s="1477"/>
      <c r="G7" s="1477"/>
      <c r="H7" s="1477"/>
      <c r="I7" s="1477"/>
    </row>
    <row r="9" spans="1:10" ht="26.25" x14ac:dyDescent="0.25">
      <c r="A9" s="1417" t="s">
        <v>661</v>
      </c>
      <c r="B9" s="1417"/>
      <c r="C9" s="1417"/>
      <c r="D9" s="1417"/>
      <c r="E9" s="741"/>
      <c r="F9" s="741"/>
      <c r="G9" s="491" t="s">
        <v>213</v>
      </c>
      <c r="H9" s="184" t="s">
        <v>214</v>
      </c>
      <c r="I9" s="184" t="s">
        <v>484</v>
      </c>
    </row>
    <row r="10" spans="1:10" ht="29.45" customHeight="1" x14ac:dyDescent="0.25">
      <c r="A10" s="1418" t="s">
        <v>672</v>
      </c>
      <c r="B10" s="1418"/>
      <c r="C10" s="1418"/>
      <c r="D10" s="1418"/>
      <c r="E10" s="741"/>
      <c r="F10" s="741"/>
      <c r="G10" s="473" t="s">
        <v>177</v>
      </c>
      <c r="H10" s="511">
        <f>F33</f>
        <v>10805</v>
      </c>
      <c r="I10" s="511">
        <f>ROUND(H10/12,2)</f>
        <v>900.42</v>
      </c>
    </row>
    <row r="11" spans="1:10" ht="28.15" customHeight="1" x14ac:dyDescent="0.25">
      <c r="A11" s="1418" t="s">
        <v>296</v>
      </c>
      <c r="B11" s="1418"/>
      <c r="C11" s="1418"/>
      <c r="D11" s="1418"/>
      <c r="E11" s="741"/>
      <c r="F11" s="741"/>
      <c r="G11" s="473" t="s">
        <v>177</v>
      </c>
      <c r="H11" s="511">
        <f>I11*12</f>
        <v>2377.1087999999995</v>
      </c>
      <c r="I11" s="511">
        <f>'поточ рем. внутр.б.мереж'!I10*розрахунок!D13/100</f>
        <v>198.09239999999997</v>
      </c>
    </row>
    <row r="12" spans="1:10" x14ac:dyDescent="0.25">
      <c r="A12" s="1418" t="s">
        <v>495</v>
      </c>
      <c r="B12" s="1418"/>
      <c r="C12" s="1418"/>
      <c r="D12" s="1418"/>
      <c r="E12" s="741"/>
      <c r="F12" s="741"/>
      <c r="G12" s="473" t="s">
        <v>177</v>
      </c>
      <c r="H12" s="511">
        <f>I12*12</f>
        <v>10028.175754742169</v>
      </c>
      <c r="I12" s="511">
        <f>I24</f>
        <v>835.68131289518078</v>
      </c>
    </row>
    <row r="13" spans="1:10" x14ac:dyDescent="0.25">
      <c r="A13" s="1418" t="s">
        <v>633</v>
      </c>
      <c r="B13" s="1418"/>
      <c r="C13" s="1418"/>
      <c r="D13" s="1418"/>
      <c r="E13" s="741"/>
      <c r="F13" s="741"/>
      <c r="G13" s="473" t="s">
        <v>177</v>
      </c>
      <c r="H13" s="511">
        <f>G33</f>
        <v>7125.01</v>
      </c>
      <c r="I13" s="511">
        <f>H13/12</f>
        <v>593.75083333333339</v>
      </c>
    </row>
    <row r="14" spans="1:10" hidden="1" x14ac:dyDescent="0.25">
      <c r="A14" s="1466" t="s">
        <v>662</v>
      </c>
      <c r="B14" s="1151"/>
      <c r="C14" s="1151"/>
      <c r="D14" s="1151"/>
      <c r="E14" s="741"/>
      <c r="F14" s="741"/>
      <c r="G14" s="473" t="s">
        <v>177</v>
      </c>
      <c r="H14" s="489">
        <f>I33</f>
        <v>0</v>
      </c>
      <c r="I14" s="512">
        <f>H14/12</f>
        <v>0</v>
      </c>
    </row>
    <row r="15" spans="1:10" x14ac:dyDescent="0.25">
      <c r="A15" s="1392" t="s">
        <v>660</v>
      </c>
      <c r="B15" s="842"/>
      <c r="C15" s="842"/>
      <c r="D15" s="842"/>
      <c r="E15" s="842"/>
      <c r="F15" s="843"/>
      <c r="G15" s="220" t="s">
        <v>177</v>
      </c>
      <c r="H15" s="513">
        <f>SUM(H10:H14)</f>
        <v>30335.29455474217</v>
      </c>
      <c r="I15" s="514">
        <f>SUM(I10:I14)</f>
        <v>2527.9445462285139</v>
      </c>
    </row>
    <row r="16" spans="1:10" ht="14.45" customHeight="1" x14ac:dyDescent="0.25">
      <c r="A16" s="1406" t="s">
        <v>119</v>
      </c>
      <c r="B16" s="1467"/>
      <c r="C16" s="1467"/>
      <c r="D16" s="1467"/>
      <c r="E16" s="1467"/>
      <c r="F16" s="1468"/>
      <c r="G16" s="220" t="s">
        <v>177</v>
      </c>
      <c r="H16" s="1469">
        <f>Характеристика!N18</f>
        <v>2981.4</v>
      </c>
      <c r="I16" s="1200"/>
    </row>
    <row r="17" spans="1:9" x14ac:dyDescent="0.25">
      <c r="A17" s="1163" t="s">
        <v>493</v>
      </c>
      <c r="B17" s="1163"/>
      <c r="C17" s="1163"/>
      <c r="D17" s="1163"/>
      <c r="E17" s="741"/>
      <c r="F17" s="741"/>
      <c r="G17" s="220" t="s">
        <v>177</v>
      </c>
      <c r="H17" s="1470">
        <f>I15/H16</f>
        <v>0.84790519428071165</v>
      </c>
      <c r="I17" s="1302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5"/>
      <c r="B19" s="1465" t="s">
        <v>663</v>
      </c>
      <c r="C19" s="1453"/>
      <c r="D19" s="1453"/>
      <c r="E19" s="1453"/>
      <c r="F19" s="1453"/>
      <c r="G19" s="1453"/>
      <c r="H19" s="1453"/>
      <c r="I19" s="1453"/>
    </row>
    <row r="20" spans="1:9" ht="60" x14ac:dyDescent="0.25">
      <c r="A20" s="1222" t="s">
        <v>271</v>
      </c>
      <c r="B20" s="1277"/>
      <c r="C20" s="1222" t="s">
        <v>272</v>
      </c>
      <c r="D20" s="1277"/>
      <c r="E20" s="1222" t="s">
        <v>664</v>
      </c>
      <c r="F20" s="1277"/>
      <c r="G20" s="231" t="s">
        <v>274</v>
      </c>
      <c r="H20" s="232" t="s">
        <v>665</v>
      </c>
      <c r="I20" s="231" t="s">
        <v>666</v>
      </c>
    </row>
    <row r="21" spans="1:9" x14ac:dyDescent="0.25">
      <c r="A21" s="1222">
        <v>1</v>
      </c>
      <c r="B21" s="1275"/>
      <c r="C21" s="1222">
        <v>2</v>
      </c>
      <c r="D21" s="1277"/>
      <c r="E21" s="1222">
        <v>3</v>
      </c>
      <c r="F21" s="1277"/>
      <c r="G21" s="232">
        <v>4</v>
      </c>
      <c r="H21" s="232">
        <v>5</v>
      </c>
      <c r="I21" s="231">
        <v>6</v>
      </c>
    </row>
    <row r="22" spans="1:9" ht="33.6" customHeight="1" x14ac:dyDescent="0.25">
      <c r="A22" s="1278" t="s">
        <v>277</v>
      </c>
      <c r="B22" s="1279"/>
      <c r="C22" s="1272">
        <f>прибирання!C49</f>
        <v>1845170</v>
      </c>
      <c r="D22" s="1248"/>
      <c r="E22" s="1252">
        <f>прибирання!D49</f>
        <v>4483062</v>
      </c>
      <c r="F22" s="1252"/>
      <c r="G22" s="468">
        <f>C22/E22*100</f>
        <v>41.158699121270239</v>
      </c>
      <c r="H22" s="484">
        <f>I10</f>
        <v>900.42</v>
      </c>
      <c r="I22" s="243">
        <f>G22*H22/100</f>
        <v>370.60115862774148</v>
      </c>
    </row>
    <row r="23" spans="1:9" ht="33" customHeight="1" x14ac:dyDescent="0.25">
      <c r="A23" s="1278" t="s">
        <v>278</v>
      </c>
      <c r="B23" s="1279"/>
      <c r="C23" s="1272">
        <f>прибирання!C50</f>
        <v>3447871</v>
      </c>
      <c r="D23" s="1248"/>
      <c r="E23" s="1252">
        <f>прибирання!D50</f>
        <v>15293041.959999999</v>
      </c>
      <c r="F23" s="1252"/>
      <c r="G23" s="468">
        <f>C23/E23*100</f>
        <v>22.54535761438531</v>
      </c>
      <c r="H23" s="484">
        <f>I10+I11+I13+I14+I22</f>
        <v>2062.8643919610745</v>
      </c>
      <c r="I23" s="243">
        <f>G23*H23/100</f>
        <v>465.08015426743935</v>
      </c>
    </row>
    <row r="24" spans="1:9" ht="24.6" customHeight="1" x14ac:dyDescent="0.25">
      <c r="A24" s="1286" t="s">
        <v>279</v>
      </c>
      <c r="B24" s="1287"/>
      <c r="C24" s="1274"/>
      <c r="D24" s="1256"/>
      <c r="E24" s="1258"/>
      <c r="F24" s="1258"/>
      <c r="G24" s="469"/>
      <c r="H24" s="485"/>
      <c r="I24" s="406">
        <f>SUM(I22:I23)</f>
        <v>835.68131289518078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71" t="s">
        <v>667</v>
      </c>
      <c r="B26" s="1471"/>
      <c r="C26" s="1471"/>
      <c r="D26" s="1471"/>
      <c r="E26" s="1471"/>
      <c r="F26" s="1471"/>
      <c r="G26" s="1471"/>
      <c r="H26" s="785"/>
      <c r="I26" s="785"/>
    </row>
    <row r="27" spans="1:9" x14ac:dyDescent="0.25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38.25" x14ac:dyDescent="0.25">
      <c r="A28" s="184" t="s">
        <v>211</v>
      </c>
      <c r="B28" s="1356" t="s">
        <v>668</v>
      </c>
      <c r="C28" s="1412"/>
      <c r="D28" s="1413"/>
      <c r="E28" s="184" t="s">
        <v>213</v>
      </c>
      <c r="F28" s="184" t="s">
        <v>669</v>
      </c>
      <c r="G28" s="483" t="s">
        <v>947</v>
      </c>
      <c r="H28" s="517"/>
      <c r="I28" s="518"/>
    </row>
    <row r="29" spans="1:9" x14ac:dyDescent="0.25">
      <c r="A29" s="519">
        <v>1</v>
      </c>
      <c r="B29" s="1472">
        <v>2</v>
      </c>
      <c r="C29" s="1395"/>
      <c r="D29" s="1395"/>
      <c r="E29" s="519">
        <v>3</v>
      </c>
      <c r="F29" s="519">
        <v>4</v>
      </c>
      <c r="G29" s="520">
        <v>5</v>
      </c>
      <c r="H29" s="521"/>
      <c r="I29" s="522"/>
    </row>
    <row r="30" spans="1:9" x14ac:dyDescent="0.25">
      <c r="A30" s="519">
        <v>1</v>
      </c>
      <c r="B30" s="1473" t="s">
        <v>823</v>
      </c>
      <c r="C30" s="1412"/>
      <c r="D30" s="1413"/>
      <c r="E30" s="523" t="s">
        <v>177</v>
      </c>
      <c r="F30" s="524">
        <v>3305</v>
      </c>
      <c r="G30" s="525">
        <v>3966</v>
      </c>
      <c r="H30" s="526"/>
      <c r="I30" s="527"/>
    </row>
    <row r="31" spans="1:9" x14ac:dyDescent="0.25">
      <c r="A31" s="519">
        <v>2</v>
      </c>
      <c r="B31" s="1474" t="s">
        <v>938</v>
      </c>
      <c r="C31" s="1431"/>
      <c r="D31" s="1432"/>
      <c r="E31" s="528" t="s">
        <v>177</v>
      </c>
      <c r="F31" s="524">
        <v>7500</v>
      </c>
      <c r="G31" s="525">
        <v>3159.01</v>
      </c>
      <c r="H31" s="529"/>
      <c r="I31" s="530"/>
    </row>
    <row r="32" spans="1:9" x14ac:dyDescent="0.25">
      <c r="A32" s="531">
        <v>3</v>
      </c>
      <c r="B32" s="1475"/>
      <c r="C32" s="1458"/>
      <c r="D32" s="1459"/>
      <c r="E32" s="528" t="s">
        <v>177</v>
      </c>
      <c r="F32" s="524"/>
      <c r="G32" s="525"/>
      <c r="H32" s="529"/>
      <c r="I32" s="530"/>
    </row>
    <row r="33" spans="1:9" x14ac:dyDescent="0.25">
      <c r="A33" s="532"/>
      <c r="B33" s="1476" t="s">
        <v>217</v>
      </c>
      <c r="C33" s="1431"/>
      <c r="D33" s="1432"/>
      <c r="E33" s="533"/>
      <c r="F33" s="534">
        <f>SUM(F30:F32)</f>
        <v>10805</v>
      </c>
      <c r="G33" s="534">
        <f>SUM(G30:G32)</f>
        <v>7125.01</v>
      </c>
      <c r="H33" s="535"/>
      <c r="I33" s="536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view="pageBreakPreview" topLeftCell="A84" zoomScale="60" zoomScaleNormal="100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Дніпра7</v>
      </c>
      <c r="G1" s="1167" t="s">
        <v>209</v>
      </c>
      <c r="H1" s="1167"/>
      <c r="I1" s="1167"/>
      <c r="J1" s="1167"/>
    </row>
    <row r="2" spans="1:10" x14ac:dyDescent="0.25">
      <c r="G2" s="1167" t="s">
        <v>104</v>
      </c>
      <c r="H2" s="1167"/>
      <c r="I2" s="1167"/>
      <c r="J2" s="1167"/>
    </row>
    <row r="3" spans="1:10" x14ac:dyDescent="0.25">
      <c r="G3" s="1171" t="s">
        <v>629</v>
      </c>
      <c r="H3" s="1171"/>
      <c r="I3" s="1171"/>
      <c r="J3" s="1171"/>
    </row>
    <row r="4" spans="1:10" x14ac:dyDescent="0.25">
      <c r="G4" s="252"/>
      <c r="H4" s="253"/>
      <c r="I4" s="1168" t="s">
        <v>288</v>
      </c>
      <c r="J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0" x14ac:dyDescent="0.25">
      <c r="A7" s="1526" t="s">
        <v>687</v>
      </c>
      <c r="B7" s="1527"/>
      <c r="C7" s="1527"/>
      <c r="D7" s="1527"/>
      <c r="E7" s="1527"/>
      <c r="F7" s="1527"/>
      <c r="G7" s="1527"/>
      <c r="H7" s="1527"/>
      <c r="I7" s="1527"/>
      <c r="J7" s="1527"/>
    </row>
    <row r="8" spans="1:10" x14ac:dyDescent="0.25">
      <c r="A8" s="566"/>
      <c r="B8" s="567"/>
      <c r="C8" s="567"/>
      <c r="D8" s="567"/>
      <c r="E8" s="567"/>
      <c r="F8" s="567"/>
      <c r="G8" s="567"/>
      <c r="H8" s="567"/>
      <c r="I8" s="567"/>
      <c r="J8" s="567"/>
    </row>
    <row r="9" spans="1:10" x14ac:dyDescent="0.25">
      <c r="A9" s="244" t="s">
        <v>688</v>
      </c>
    </row>
    <row r="10" spans="1:10" ht="25.5" x14ac:dyDescent="0.25">
      <c r="A10" s="184" t="s">
        <v>225</v>
      </c>
      <c r="B10" s="1162" t="s">
        <v>212</v>
      </c>
      <c r="C10" s="1482"/>
      <c r="D10" s="1482"/>
      <c r="E10" s="1482"/>
      <c r="F10" s="184" t="s">
        <v>213</v>
      </c>
      <c r="G10" s="1162" t="s">
        <v>214</v>
      </c>
      <c r="H10" s="1482"/>
      <c r="I10" s="1162" t="s">
        <v>496</v>
      </c>
      <c r="J10" s="1483"/>
    </row>
    <row r="11" spans="1:10" ht="18.600000000000001" customHeight="1" x14ac:dyDescent="0.25">
      <c r="A11" s="184">
        <v>1</v>
      </c>
      <c r="B11" s="1172" t="s">
        <v>689</v>
      </c>
      <c r="C11" s="774"/>
      <c r="D11" s="774"/>
      <c r="E11" s="774"/>
      <c r="F11" s="261" t="s">
        <v>177</v>
      </c>
      <c r="G11" s="1174">
        <f>I11*12</f>
        <v>0</v>
      </c>
      <c r="H11" s="1479"/>
      <c r="I11" s="1174">
        <f>I68</f>
        <v>0</v>
      </c>
      <c r="J11" s="1480"/>
    </row>
    <row r="12" spans="1:10" ht="38.450000000000003" customHeight="1" x14ac:dyDescent="0.25">
      <c r="A12" s="184">
        <v>2</v>
      </c>
      <c r="B12" s="1177" t="s">
        <v>296</v>
      </c>
      <c r="C12" s="1478"/>
      <c r="D12" s="1478"/>
      <c r="E12" s="1478"/>
      <c r="F12" s="261" t="s">
        <v>177</v>
      </c>
      <c r="G12" s="1174">
        <f>I12*12</f>
        <v>0</v>
      </c>
      <c r="H12" s="1479"/>
      <c r="I12" s="1174">
        <f>I11*розрахунок!D13/100</f>
        <v>0</v>
      </c>
      <c r="J12" s="1480"/>
    </row>
    <row r="13" spans="1:10" x14ac:dyDescent="0.25">
      <c r="A13" s="184">
        <v>3</v>
      </c>
      <c r="B13" s="1172" t="s">
        <v>495</v>
      </c>
      <c r="C13" s="1481"/>
      <c r="D13" s="1481"/>
      <c r="E13" s="1481"/>
      <c r="F13" s="261" t="s">
        <v>177</v>
      </c>
      <c r="G13" s="1174">
        <f>I13*12</f>
        <v>0</v>
      </c>
      <c r="H13" s="1479"/>
      <c r="I13" s="1174">
        <f>I75</f>
        <v>0</v>
      </c>
      <c r="J13" s="1480"/>
    </row>
    <row r="14" spans="1:10" x14ac:dyDescent="0.25">
      <c r="A14" s="184">
        <v>4</v>
      </c>
      <c r="B14" s="1172" t="s">
        <v>633</v>
      </c>
      <c r="C14" s="1481"/>
      <c r="D14" s="1481"/>
      <c r="E14" s="1481"/>
      <c r="F14" s="261" t="s">
        <v>177</v>
      </c>
      <c r="G14" s="1174">
        <f>I14*12</f>
        <v>0</v>
      </c>
      <c r="H14" s="1479"/>
      <c r="I14" s="1174">
        <f>інвентар!I9</f>
        <v>0</v>
      </c>
      <c r="J14" s="1480"/>
    </row>
    <row r="15" spans="1:10" x14ac:dyDescent="0.25">
      <c r="A15" s="184">
        <v>5</v>
      </c>
      <c r="B15" s="1172" t="s">
        <v>482</v>
      </c>
      <c r="C15" s="1481"/>
      <c r="D15" s="1481"/>
      <c r="E15" s="1481"/>
      <c r="F15" s="261" t="s">
        <v>177</v>
      </c>
      <c r="G15" s="1174">
        <f>I15*12</f>
        <v>0</v>
      </c>
      <c r="H15" s="1479"/>
      <c r="I15" s="1179">
        <v>0</v>
      </c>
      <c r="J15" s="1487"/>
    </row>
    <row r="16" spans="1:10" x14ac:dyDescent="0.25">
      <c r="A16" s="184">
        <v>6</v>
      </c>
      <c r="B16" s="1484" t="s">
        <v>660</v>
      </c>
      <c r="C16" s="1485"/>
      <c r="D16" s="1485"/>
      <c r="E16" s="1485"/>
      <c r="F16" s="184" t="s">
        <v>177</v>
      </c>
      <c r="G16" s="1183">
        <f>SUM(G11:G15)</f>
        <v>0</v>
      </c>
      <c r="H16" s="1184"/>
      <c r="I16" s="1188">
        <f>SUM(I11:I15)</f>
        <v>0</v>
      </c>
      <c r="J16" s="1486"/>
    </row>
    <row r="17" spans="1:10" ht="19.899999999999999" customHeight="1" x14ac:dyDescent="0.25">
      <c r="A17" s="184">
        <v>7</v>
      </c>
      <c r="B17" s="1498" t="s">
        <v>119</v>
      </c>
      <c r="C17" s="1499"/>
      <c r="D17" s="1499"/>
      <c r="E17" s="1500"/>
      <c r="F17" s="184" t="s">
        <v>218</v>
      </c>
      <c r="G17" s="1188">
        <f>[1]Расчет!D3</f>
        <v>2997.38</v>
      </c>
      <c r="H17" s="1491"/>
      <c r="I17" s="1492"/>
      <c r="J17" s="1493"/>
    </row>
    <row r="18" spans="1:10" x14ac:dyDescent="0.25">
      <c r="A18" s="538">
        <v>8</v>
      </c>
      <c r="B18" s="1181" t="s">
        <v>493</v>
      </c>
      <c r="C18" s="1163"/>
      <c r="D18" s="1163"/>
      <c r="E18" s="1163"/>
      <c r="F18" s="538" t="s">
        <v>177</v>
      </c>
      <c r="G18" s="1494">
        <f>I16/G17</f>
        <v>0</v>
      </c>
      <c r="H18" s="1495"/>
      <c r="I18" s="1496"/>
      <c r="J18" s="1497"/>
    </row>
    <row r="19" spans="1:10" x14ac:dyDescent="0.25">
      <c r="A19" s="539"/>
      <c r="B19" s="540"/>
      <c r="C19" s="142"/>
      <c r="D19" s="142"/>
      <c r="E19" s="142"/>
      <c r="F19" s="539"/>
      <c r="G19" s="541"/>
      <c r="H19" s="541"/>
      <c r="I19" s="542"/>
      <c r="J19" s="542"/>
    </row>
    <row r="20" spans="1:10" x14ac:dyDescent="0.25">
      <c r="A20" s="1488" t="s">
        <v>673</v>
      </c>
      <c r="B20" s="1489"/>
      <c r="C20" s="1489"/>
      <c r="D20" s="1489"/>
      <c r="E20" s="1489"/>
      <c r="F20" s="1489"/>
      <c r="G20" s="1489"/>
      <c r="H20" s="1489"/>
      <c r="I20" s="1489"/>
      <c r="J20" s="1489"/>
    </row>
    <row r="21" spans="1:10" ht="55.15" customHeight="1" x14ac:dyDescent="0.25">
      <c r="A21" s="1196" t="s">
        <v>674</v>
      </c>
      <c r="B21" s="1490"/>
      <c r="C21" s="1490"/>
      <c r="D21" s="1490"/>
      <c r="E21" s="1490"/>
      <c r="F21" s="1490"/>
      <c r="G21" s="1490"/>
      <c r="H21" s="1490"/>
      <c r="I21" s="1490"/>
      <c r="J21" s="1490"/>
    </row>
    <row r="22" spans="1:10" ht="33.6" customHeight="1" x14ac:dyDescent="0.25">
      <c r="A22" s="1196" t="s">
        <v>499</v>
      </c>
      <c r="B22" s="1197"/>
      <c r="C22" s="1197"/>
      <c r="D22" s="1197"/>
      <c r="E22" s="1197"/>
      <c r="F22" s="1197"/>
      <c r="G22" s="1197"/>
      <c r="H22" s="1197"/>
      <c r="I22" s="1197"/>
      <c r="J22" s="1197"/>
    </row>
    <row r="23" spans="1:10" x14ac:dyDescent="0.25">
      <c r="A23" s="1212" t="s">
        <v>737</v>
      </c>
      <c r="B23" s="1213"/>
      <c r="C23" s="1213"/>
      <c r="D23" s="1213"/>
      <c r="E23" s="1214" t="s">
        <v>221</v>
      </c>
      <c r="F23" s="1214"/>
      <c r="G23" s="189">
        <f>розрахунок!D17</f>
        <v>251</v>
      </c>
      <c r="H23" s="1214" t="s">
        <v>222</v>
      </c>
      <c r="I23" s="1214"/>
      <c r="J23" s="189">
        <f>розрахунок!D19</f>
        <v>2002</v>
      </c>
    </row>
    <row r="24" spans="1:10" x14ac:dyDescent="0.25">
      <c r="A24" s="412"/>
      <c r="B24" s="480"/>
      <c r="C24" s="480"/>
      <c r="D24" s="480"/>
      <c r="E24" s="480"/>
      <c r="F24" s="480"/>
      <c r="G24" s="480"/>
      <c r="H24" s="480"/>
      <c r="I24" s="480"/>
      <c r="J24" s="480"/>
    </row>
    <row r="25" spans="1:10" x14ac:dyDescent="0.25">
      <c r="A25" s="544" t="s">
        <v>223</v>
      </c>
      <c r="B25" s="1506" t="s">
        <v>224</v>
      </c>
      <c r="C25" s="1506"/>
      <c r="D25" s="1506"/>
      <c r="E25" s="1506"/>
      <c r="F25" s="1506"/>
      <c r="G25" s="192"/>
      <c r="H25" s="192"/>
      <c r="I25" s="192"/>
      <c r="J25" s="192"/>
    </row>
    <row r="26" spans="1:10" ht="123.75" x14ac:dyDescent="0.25">
      <c r="A26" s="193" t="s">
        <v>225</v>
      </c>
      <c r="B26" s="1216" t="s">
        <v>226</v>
      </c>
      <c r="C26" s="1217"/>
      <c r="D26" s="194" t="s">
        <v>675</v>
      </c>
      <c r="E26" s="195" t="s">
        <v>228</v>
      </c>
      <c r="F26" s="1218" t="s">
        <v>676</v>
      </c>
      <c r="G26" s="1217"/>
      <c r="H26" s="196" t="s">
        <v>677</v>
      </c>
      <c r="I26" s="197" t="s">
        <v>231</v>
      </c>
      <c r="J26" s="197" t="s">
        <v>232</v>
      </c>
    </row>
    <row r="27" spans="1:10" x14ac:dyDescent="0.25">
      <c r="A27" s="231">
        <v>1</v>
      </c>
      <c r="B27" s="1507">
        <v>2</v>
      </c>
      <c r="C27" s="1221"/>
      <c r="D27" s="233">
        <v>3</v>
      </c>
      <c r="E27" s="233">
        <v>4</v>
      </c>
      <c r="F27" s="1508">
        <v>5</v>
      </c>
      <c r="G27" s="833"/>
      <c r="H27" s="233">
        <v>6</v>
      </c>
      <c r="I27" s="233">
        <v>7</v>
      </c>
      <c r="J27" s="545">
        <v>8</v>
      </c>
    </row>
    <row r="28" spans="1:10" ht="36.6" customHeight="1" x14ac:dyDescent="0.25">
      <c r="A28" s="546">
        <v>1</v>
      </c>
      <c r="B28" s="1228" t="s">
        <v>396</v>
      </c>
      <c r="C28" s="1505"/>
      <c r="D28" s="547"/>
      <c r="E28" s="202">
        <f>G23</f>
        <v>251</v>
      </c>
      <c r="F28" s="1502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38"/>
      <c r="H28" s="201">
        <f>(D28/100)*F28*E28</f>
        <v>0</v>
      </c>
      <c r="I28" s="203">
        <v>58</v>
      </c>
      <c r="J28" s="548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13" t="s">
        <v>98</v>
      </c>
      <c r="B29" s="1228" t="s">
        <v>678</v>
      </c>
      <c r="C29" s="1501"/>
      <c r="D29" s="547"/>
      <c r="E29" s="202">
        <v>156</v>
      </c>
      <c r="F29" s="1502">
        <f>IF([1]Таблица_Характеристика!$N$31&lt;=0.2,0.41,0.55)</f>
        <v>0.41</v>
      </c>
      <c r="G29" s="1503"/>
      <c r="H29" s="201">
        <f>(D29/100)*F29*E29</f>
        <v>0</v>
      </c>
      <c r="I29" s="203">
        <v>59</v>
      </c>
      <c r="J29" s="548" t="str">
        <f>IF([1]Таблица_Характеристика!$N$31&lt;=0.2,"1-59-1","1-59-2")</f>
        <v>1-59-1</v>
      </c>
    </row>
    <row r="30" spans="1:10" ht="15" customHeight="1" x14ac:dyDescent="0.25">
      <c r="A30" s="213" t="s">
        <v>235</v>
      </c>
      <c r="B30" s="1512" t="s">
        <v>400</v>
      </c>
      <c r="C30" s="1528"/>
      <c r="D30" s="1528"/>
      <c r="E30" s="1528"/>
      <c r="F30" s="1528"/>
      <c r="G30" s="1529"/>
      <c r="H30" s="1504"/>
      <c r="I30" s="1244"/>
      <c r="J30" s="548"/>
    </row>
    <row r="31" spans="1:10" ht="27.6" customHeight="1" x14ac:dyDescent="0.25">
      <c r="A31" s="546"/>
      <c r="B31" s="1228" t="s">
        <v>401</v>
      </c>
      <c r="C31" s="1505"/>
      <c r="D31" s="547"/>
      <c r="E31" s="202">
        <v>2</v>
      </c>
      <c r="F31" s="1502">
        <v>2.66</v>
      </c>
      <c r="G31" s="1302"/>
      <c r="H31" s="201">
        <f>D31/100*F31*E31</f>
        <v>0</v>
      </c>
      <c r="I31" s="203">
        <v>60</v>
      </c>
      <c r="J31" s="548" t="s">
        <v>402</v>
      </c>
    </row>
    <row r="32" spans="1:10" ht="26.45" customHeight="1" x14ac:dyDescent="0.25">
      <c r="A32" s="546"/>
      <c r="B32" s="1228" t="s">
        <v>403</v>
      </c>
      <c r="C32" s="1505"/>
      <c r="D32" s="547"/>
      <c r="E32" s="202">
        <v>2</v>
      </c>
      <c r="F32" s="1502">
        <v>3.21</v>
      </c>
      <c r="G32" s="1302"/>
      <c r="H32" s="201">
        <f t="shared" ref="H32:H37" si="0">D32/100*F32*E32</f>
        <v>0</v>
      </c>
      <c r="I32" s="203">
        <v>60</v>
      </c>
      <c r="J32" s="548" t="s">
        <v>404</v>
      </c>
    </row>
    <row r="33" spans="1:10" ht="31.9" customHeight="1" x14ac:dyDescent="0.25">
      <c r="A33" s="546"/>
      <c r="B33" s="1228" t="s">
        <v>405</v>
      </c>
      <c r="C33" s="1505"/>
      <c r="D33" s="547"/>
      <c r="E33" s="202">
        <v>2</v>
      </c>
      <c r="F33" s="1502">
        <v>3.32</v>
      </c>
      <c r="G33" s="1302"/>
      <c r="H33" s="201">
        <f t="shared" si="0"/>
        <v>0</v>
      </c>
      <c r="I33" s="203">
        <v>60</v>
      </c>
      <c r="J33" s="548" t="s">
        <v>406</v>
      </c>
    </row>
    <row r="34" spans="1:10" ht="15" customHeight="1" x14ac:dyDescent="0.25">
      <c r="A34" s="546"/>
      <c r="B34" s="1228" t="s">
        <v>407</v>
      </c>
      <c r="C34" s="1505"/>
      <c r="D34" s="547"/>
      <c r="E34" s="202">
        <v>2</v>
      </c>
      <c r="F34" s="1502">
        <v>4.42</v>
      </c>
      <c r="G34" s="1302"/>
      <c r="H34" s="201">
        <f t="shared" si="0"/>
        <v>0</v>
      </c>
      <c r="I34" s="203">
        <v>60</v>
      </c>
      <c r="J34" s="548" t="s">
        <v>408</v>
      </c>
    </row>
    <row r="35" spans="1:10" ht="29.45" customHeight="1" x14ac:dyDescent="0.25">
      <c r="A35" s="546"/>
      <c r="B35" s="1228" t="s">
        <v>409</v>
      </c>
      <c r="C35" s="1505"/>
      <c r="D35" s="547">
        <f>[1]Таблица_Характеристика!L37*[1]Таблица_Характеристика!H37</f>
        <v>0</v>
      </c>
      <c r="E35" s="202">
        <v>2</v>
      </c>
      <c r="F35" s="1502">
        <v>2.4300000000000002</v>
      </c>
      <c r="G35" s="1302"/>
      <c r="H35" s="201">
        <f t="shared" si="0"/>
        <v>0</v>
      </c>
      <c r="I35" s="203">
        <v>60</v>
      </c>
      <c r="J35" s="548" t="s">
        <v>410</v>
      </c>
    </row>
    <row r="36" spans="1:10" ht="35.450000000000003" customHeight="1" x14ac:dyDescent="0.25">
      <c r="A36" s="546"/>
      <c r="B36" s="1228" t="s">
        <v>411</v>
      </c>
      <c r="C36" s="1505"/>
      <c r="D36" s="547">
        <f>[1]Таблица_Характеристика!L38*[1]Таблица_Характеристика!H38</f>
        <v>0</v>
      </c>
      <c r="E36" s="202">
        <v>2</v>
      </c>
      <c r="F36" s="1502">
        <v>3.16</v>
      </c>
      <c r="G36" s="1302"/>
      <c r="H36" s="201">
        <f t="shared" si="0"/>
        <v>0</v>
      </c>
      <c r="I36" s="203">
        <v>60</v>
      </c>
      <c r="J36" s="548" t="s">
        <v>412</v>
      </c>
    </row>
    <row r="37" spans="1:10" ht="39" customHeight="1" x14ac:dyDescent="0.25">
      <c r="A37" s="546"/>
      <c r="B37" s="1228" t="s">
        <v>413</v>
      </c>
      <c r="C37" s="1505"/>
      <c r="D37" s="547">
        <f>[1]Таблица_Характеристика!L39*[1]Таблица_Характеристика!H39</f>
        <v>0</v>
      </c>
      <c r="E37" s="202">
        <v>2</v>
      </c>
      <c r="F37" s="1502">
        <v>3.67</v>
      </c>
      <c r="G37" s="1302"/>
      <c r="H37" s="201">
        <f t="shared" si="0"/>
        <v>0</v>
      </c>
      <c r="I37" s="203">
        <v>60</v>
      </c>
      <c r="J37" s="548" t="s">
        <v>414</v>
      </c>
    </row>
    <row r="38" spans="1:10" ht="33.6" customHeight="1" x14ac:dyDescent="0.25">
      <c r="A38" s="213" t="s">
        <v>239</v>
      </c>
      <c r="B38" s="1198" t="s">
        <v>415</v>
      </c>
      <c r="C38" s="1509"/>
      <c r="D38" s="547"/>
      <c r="E38" s="202"/>
      <c r="F38" s="1502"/>
      <c r="G38" s="1302"/>
      <c r="H38" s="1504"/>
      <c r="I38" s="1244"/>
      <c r="J38" s="548"/>
    </row>
    <row r="39" spans="1:10" ht="35.450000000000003" customHeight="1" x14ac:dyDescent="0.25">
      <c r="A39" s="546"/>
      <c r="B39" s="1228" t="s">
        <v>401</v>
      </c>
      <c r="C39" s="1505"/>
      <c r="D39" s="547"/>
      <c r="E39" s="202">
        <v>2</v>
      </c>
      <c r="F39" s="1502">
        <v>3.48</v>
      </c>
      <c r="G39" s="1302"/>
      <c r="H39" s="201">
        <f>D39/100*F39*E39</f>
        <v>0</v>
      </c>
      <c r="I39" s="203">
        <v>61</v>
      </c>
      <c r="J39" s="548" t="s">
        <v>416</v>
      </c>
    </row>
    <row r="40" spans="1:10" ht="36.6" customHeight="1" x14ac:dyDescent="0.25">
      <c r="A40" s="546"/>
      <c r="B40" s="1228" t="s">
        <v>403</v>
      </c>
      <c r="C40" s="1505"/>
      <c r="D40" s="547">
        <f>[1]Таблица_Характеристика!M34*[1]Таблица_Характеристика!H34</f>
        <v>0</v>
      </c>
      <c r="E40" s="202">
        <v>2</v>
      </c>
      <c r="F40" s="1502">
        <v>4.05</v>
      </c>
      <c r="G40" s="1302"/>
      <c r="H40" s="201">
        <f t="shared" ref="H40:H45" si="1">D40/100*F40*E40</f>
        <v>0</v>
      </c>
      <c r="I40" s="203">
        <v>61</v>
      </c>
      <c r="J40" s="548" t="s">
        <v>417</v>
      </c>
    </row>
    <row r="41" spans="1:10" ht="28.9" customHeight="1" x14ac:dyDescent="0.25">
      <c r="A41" s="546"/>
      <c r="B41" s="1228" t="s">
        <v>405</v>
      </c>
      <c r="C41" s="1505"/>
      <c r="D41" s="547">
        <f>[1]Таблица_Характеристика!M35*[1]Таблица_Характеристика!H35</f>
        <v>0</v>
      </c>
      <c r="E41" s="202">
        <v>2</v>
      </c>
      <c r="F41" s="1502">
        <v>4.93</v>
      </c>
      <c r="G41" s="1302"/>
      <c r="H41" s="201">
        <f t="shared" si="1"/>
        <v>0</v>
      </c>
      <c r="I41" s="203">
        <v>61</v>
      </c>
      <c r="J41" s="548" t="s">
        <v>418</v>
      </c>
    </row>
    <row r="42" spans="1:10" ht="26.45" customHeight="1" x14ac:dyDescent="0.25">
      <c r="A42" s="546"/>
      <c r="B42" s="1228" t="s">
        <v>407</v>
      </c>
      <c r="C42" s="1505"/>
      <c r="D42" s="547">
        <f>[1]Таблица_Характеристика!M36*[1]Таблица_Характеристика!H36</f>
        <v>0</v>
      </c>
      <c r="E42" s="202">
        <v>2</v>
      </c>
      <c r="F42" s="1502">
        <v>5.81</v>
      </c>
      <c r="G42" s="1302"/>
      <c r="H42" s="201">
        <f t="shared" si="1"/>
        <v>0</v>
      </c>
      <c r="I42" s="203">
        <v>61</v>
      </c>
      <c r="J42" s="548" t="s">
        <v>419</v>
      </c>
    </row>
    <row r="43" spans="1:10" ht="31.15" customHeight="1" x14ac:dyDescent="0.25">
      <c r="A43" s="546"/>
      <c r="B43" s="1228" t="s">
        <v>409</v>
      </c>
      <c r="C43" s="1505"/>
      <c r="D43" s="547">
        <f>[1]Таблица_Характеристика!M37*[1]Таблица_Характеристика!H37</f>
        <v>0</v>
      </c>
      <c r="E43" s="202">
        <v>2</v>
      </c>
      <c r="F43" s="1502">
        <v>3.29</v>
      </c>
      <c r="G43" s="1302"/>
      <c r="H43" s="201">
        <f t="shared" si="1"/>
        <v>0</v>
      </c>
      <c r="I43" s="203">
        <v>61</v>
      </c>
      <c r="J43" s="548" t="s">
        <v>420</v>
      </c>
    </row>
    <row r="44" spans="1:10" ht="26.45" customHeight="1" x14ac:dyDescent="0.25">
      <c r="A44" s="546"/>
      <c r="B44" s="1228" t="s">
        <v>411</v>
      </c>
      <c r="C44" s="1505"/>
      <c r="D44" s="547">
        <f>[1]Таблица_Характеристика!M38*[1]Таблица_Характеристика!H38</f>
        <v>0</v>
      </c>
      <c r="E44" s="202">
        <v>2</v>
      </c>
      <c r="F44" s="1502">
        <v>4.01</v>
      </c>
      <c r="G44" s="1302"/>
      <c r="H44" s="201">
        <f t="shared" si="1"/>
        <v>0</v>
      </c>
      <c r="I44" s="203">
        <v>61</v>
      </c>
      <c r="J44" s="548" t="s">
        <v>421</v>
      </c>
    </row>
    <row r="45" spans="1:10" ht="34.15" customHeight="1" x14ac:dyDescent="0.25">
      <c r="A45" s="546"/>
      <c r="B45" s="1228" t="s">
        <v>413</v>
      </c>
      <c r="C45" s="1505"/>
      <c r="D45" s="547">
        <f>[1]Таблица_Характеристика!M39*[1]Таблица_Характеристика!H39</f>
        <v>0</v>
      </c>
      <c r="E45" s="202">
        <v>2</v>
      </c>
      <c r="F45" s="1502">
        <v>4.7</v>
      </c>
      <c r="G45" s="1302"/>
      <c r="H45" s="201">
        <f t="shared" si="1"/>
        <v>0</v>
      </c>
      <c r="I45" s="203">
        <v>61</v>
      </c>
      <c r="J45" s="548" t="s">
        <v>422</v>
      </c>
    </row>
    <row r="46" spans="1:10" ht="43.9" customHeight="1" x14ac:dyDescent="0.25">
      <c r="A46" s="213" t="s">
        <v>240</v>
      </c>
      <c r="B46" s="1512" t="s">
        <v>423</v>
      </c>
      <c r="C46" s="1513"/>
      <c r="D46" s="549">
        <f>[1]Таблица_Характеристика!C41</f>
        <v>0</v>
      </c>
      <c r="E46" s="550">
        <v>24</v>
      </c>
      <c r="F46" s="1510">
        <v>0.92</v>
      </c>
      <c r="G46" s="1514"/>
      <c r="H46" s="205">
        <f>D46/100*F46*E46</f>
        <v>0</v>
      </c>
      <c r="I46" s="206">
        <v>62</v>
      </c>
      <c r="J46" s="551" t="s">
        <v>424</v>
      </c>
    </row>
    <row r="47" spans="1:10" x14ac:dyDescent="0.25">
      <c r="A47" s="213" t="s">
        <v>255</v>
      </c>
      <c r="B47" s="1198" t="s">
        <v>425</v>
      </c>
      <c r="C47" s="1509"/>
      <c r="D47" s="549"/>
      <c r="E47" s="550"/>
      <c r="F47" s="1510"/>
      <c r="G47" s="1511"/>
      <c r="H47" s="205"/>
      <c r="I47" s="206" t="s">
        <v>679</v>
      </c>
      <c r="J47" s="551"/>
    </row>
    <row r="48" spans="1:10" x14ac:dyDescent="0.25">
      <c r="A48" s="546" t="s">
        <v>235</v>
      </c>
      <c r="B48" s="1228" t="s">
        <v>426</v>
      </c>
      <c r="C48" s="1505"/>
      <c r="D48" s="547">
        <f>[1]Таблица_Характеристика!G41</f>
        <v>0</v>
      </c>
      <c r="E48" s="202">
        <v>12</v>
      </c>
      <c r="F48" s="1502">
        <v>1.47</v>
      </c>
      <c r="G48" s="1238"/>
      <c r="H48" s="201">
        <f t="shared" ref="H48:H55" si="2">D48/100*F48*E48</f>
        <v>0</v>
      </c>
      <c r="I48" s="203">
        <v>63</v>
      </c>
      <c r="J48" s="548" t="s">
        <v>427</v>
      </c>
    </row>
    <row r="49" spans="1:10" x14ac:dyDescent="0.25">
      <c r="A49" s="546"/>
      <c r="B49" s="1228" t="s">
        <v>428</v>
      </c>
      <c r="C49" s="1505"/>
      <c r="D49" s="547">
        <f>[1]Таблица_Характеристика!J41</f>
        <v>0</v>
      </c>
      <c r="E49" s="202">
        <v>12</v>
      </c>
      <c r="F49" s="1502">
        <v>2.25</v>
      </c>
      <c r="G49" s="1238"/>
      <c r="H49" s="201">
        <f t="shared" si="2"/>
        <v>0</v>
      </c>
      <c r="I49" s="203">
        <v>63</v>
      </c>
      <c r="J49" s="548" t="s">
        <v>429</v>
      </c>
    </row>
    <row r="50" spans="1:10" x14ac:dyDescent="0.25">
      <c r="A50" s="546"/>
      <c r="B50" s="1228" t="s">
        <v>430</v>
      </c>
      <c r="C50" s="1505"/>
      <c r="D50" s="547">
        <f>[1]Таблица_Характеристика!N41</f>
        <v>0</v>
      </c>
      <c r="E50" s="202">
        <v>12</v>
      </c>
      <c r="F50" s="1502">
        <v>2</v>
      </c>
      <c r="G50" s="1238"/>
      <c r="H50" s="201">
        <f t="shared" si="2"/>
        <v>0</v>
      </c>
      <c r="I50" s="203">
        <v>63</v>
      </c>
      <c r="J50" s="548" t="s">
        <v>431</v>
      </c>
    </row>
    <row r="51" spans="1:10" ht="26.45" customHeight="1" x14ac:dyDescent="0.25">
      <c r="A51" s="546"/>
      <c r="B51" s="1228" t="s">
        <v>432</v>
      </c>
      <c r="C51" s="1505"/>
      <c r="D51" s="547"/>
      <c r="E51" s="202">
        <v>12</v>
      </c>
      <c r="F51" s="1502">
        <v>2.0299999999999998</v>
      </c>
      <c r="G51" s="1302"/>
      <c r="H51" s="201">
        <f t="shared" si="2"/>
        <v>0</v>
      </c>
      <c r="I51" s="203">
        <v>64</v>
      </c>
      <c r="J51" s="548" t="s">
        <v>433</v>
      </c>
    </row>
    <row r="52" spans="1:10" ht="19.149999999999999" customHeight="1" x14ac:dyDescent="0.25">
      <c r="A52" s="546"/>
      <c r="B52" s="1228" t="s">
        <v>434</v>
      </c>
      <c r="C52" s="1505"/>
      <c r="D52" s="547"/>
      <c r="E52" s="202">
        <v>12</v>
      </c>
      <c r="F52" s="1502">
        <v>1.66</v>
      </c>
      <c r="G52" s="1302"/>
      <c r="H52" s="201">
        <f t="shared" si="2"/>
        <v>0</v>
      </c>
      <c r="I52" s="203">
        <v>64</v>
      </c>
      <c r="J52" s="548" t="s">
        <v>435</v>
      </c>
    </row>
    <row r="53" spans="1:10" ht="27.6" customHeight="1" x14ac:dyDescent="0.25">
      <c r="A53" s="546"/>
      <c r="B53" s="1228" t="s">
        <v>436</v>
      </c>
      <c r="C53" s="1505"/>
      <c r="D53" s="547">
        <f>[1]Таблица_Характеристика!N42</f>
        <v>0</v>
      </c>
      <c r="E53" s="202">
        <v>12</v>
      </c>
      <c r="F53" s="1502">
        <v>3.1</v>
      </c>
      <c r="G53" s="1238"/>
      <c r="H53" s="201">
        <f t="shared" si="2"/>
        <v>0</v>
      </c>
      <c r="I53" s="203">
        <v>64</v>
      </c>
      <c r="J53" s="548" t="s">
        <v>437</v>
      </c>
    </row>
    <row r="54" spans="1:10" ht="29.45" customHeight="1" x14ac:dyDescent="0.25">
      <c r="A54" s="552"/>
      <c r="B54" s="1224" t="s">
        <v>438</v>
      </c>
      <c r="C54" s="1515"/>
      <c r="D54" s="201">
        <f>[1]Таблица_Характеристика!C43</f>
        <v>0</v>
      </c>
      <c r="E54" s="202">
        <v>12</v>
      </c>
      <c r="F54" s="1203">
        <v>2.76</v>
      </c>
      <c r="G54" s="1302"/>
      <c r="H54" s="201">
        <f t="shared" si="2"/>
        <v>0</v>
      </c>
      <c r="I54" s="203">
        <v>65</v>
      </c>
      <c r="J54" s="553" t="s">
        <v>439</v>
      </c>
    </row>
    <row r="55" spans="1:10" ht="48.6" customHeight="1" x14ac:dyDescent="0.25">
      <c r="A55" s="552"/>
      <c r="B55" s="1224" t="s">
        <v>440</v>
      </c>
      <c r="C55" s="1505"/>
      <c r="D55" s="201">
        <f>[1]Таблица_Характеристика!L43</f>
        <v>0</v>
      </c>
      <c r="E55" s="202">
        <v>12</v>
      </c>
      <c r="F55" s="1203">
        <v>1.3</v>
      </c>
      <c r="G55" s="1302"/>
      <c r="H55" s="201">
        <f t="shared" si="2"/>
        <v>0</v>
      </c>
      <c r="I55" s="203">
        <v>65</v>
      </c>
      <c r="J55" s="553" t="s">
        <v>441</v>
      </c>
    </row>
    <row r="56" spans="1:10" ht="29.45" customHeight="1" x14ac:dyDescent="0.25">
      <c r="A56" s="552"/>
      <c r="B56" s="1224" t="s">
        <v>442</v>
      </c>
      <c r="C56" s="1515"/>
      <c r="D56" s="236">
        <f>[1]Таблица_Характеристика!N43</f>
        <v>0</v>
      </c>
      <c r="E56" s="202">
        <v>12</v>
      </c>
      <c r="F56" s="1203">
        <v>7.0000000000000007E-2</v>
      </c>
      <c r="G56" s="1302"/>
      <c r="H56" s="201">
        <f>D56/10*F56*E56</f>
        <v>0</v>
      </c>
      <c r="I56" s="203">
        <v>66</v>
      </c>
      <c r="J56" s="553" t="s">
        <v>443</v>
      </c>
    </row>
    <row r="57" spans="1:10" ht="42.6" customHeight="1" x14ac:dyDescent="0.25">
      <c r="A57" s="554" t="s">
        <v>235</v>
      </c>
      <c r="B57" s="1518" t="s">
        <v>444</v>
      </c>
      <c r="C57" s="1519"/>
      <c r="D57" s="201">
        <v>0</v>
      </c>
      <c r="E57" s="202">
        <f>G23</f>
        <v>251</v>
      </c>
      <c r="F57" s="1203">
        <f>IF([1]Расчет!D29=0,0.74,IF([1]Расчет!D29=1,1.11,IF([1]Расчет!D29=2,1.06,1.25)))</f>
        <v>1.25</v>
      </c>
      <c r="G57" s="1204"/>
      <c r="H57" s="201">
        <f t="shared" ref="H57:H61" si="3">(D57/100)*F57*E57</f>
        <v>0</v>
      </c>
      <c r="I57" s="203">
        <v>67</v>
      </c>
      <c r="J57" s="553" t="str">
        <f>CONCATENATE("1-67-",[1]Расчет!D29+1)</f>
        <v>1-67-219,83</v>
      </c>
    </row>
    <row r="58" spans="1:10" ht="40.15" customHeight="1" x14ac:dyDescent="0.25">
      <c r="A58" s="554" t="s">
        <v>239</v>
      </c>
      <c r="B58" s="1518" t="s">
        <v>445</v>
      </c>
      <c r="C58" s="1519"/>
      <c r="D58" s="201"/>
      <c r="E58" s="202">
        <v>156</v>
      </c>
      <c r="F58" s="1203">
        <f>IF([1]Расчет!D29=0,0.55,IF([1]Расчет!D29=1,0.93,IF([1]Расчет!D29=2,0.79,0.93)))</f>
        <v>0.93</v>
      </c>
      <c r="G58" s="1204"/>
      <c r="H58" s="201">
        <f t="shared" si="3"/>
        <v>0</v>
      </c>
      <c r="I58" s="203">
        <v>68</v>
      </c>
      <c r="J58" s="553" t="str">
        <f>CONCATENATE("1-68-",[1]Расчет!D29+1)</f>
        <v>1-68-219,83</v>
      </c>
    </row>
    <row r="59" spans="1:10" ht="48" customHeight="1" x14ac:dyDescent="0.25">
      <c r="A59" s="554" t="s">
        <v>239</v>
      </c>
      <c r="B59" s="1228" t="s">
        <v>446</v>
      </c>
      <c r="C59" s="1517"/>
      <c r="D59" s="201">
        <f>[1]Таблица_Характеристика!N59</f>
        <v>0</v>
      </c>
      <c r="E59" s="202">
        <f>G23</f>
        <v>251</v>
      </c>
      <c r="F59" s="1203">
        <f>IF([1]Расчет!D29=1,1.66,(IF([1]Расчет!D29=3,1.7,0)))</f>
        <v>0</v>
      </c>
      <c r="G59" s="1204"/>
      <c r="H59" s="201">
        <f t="shared" si="3"/>
        <v>0</v>
      </c>
      <c r="I59" s="203">
        <v>69</v>
      </c>
      <c r="J59" s="553" t="str">
        <f>IF([1]Таблица_Характеристика!G59=0,"",CONCATENATE("1-69-",[1]Расчет!D29-1))</f>
        <v/>
      </c>
    </row>
    <row r="60" spans="1:10" ht="41.45" customHeight="1" x14ac:dyDescent="0.25">
      <c r="A60" s="555" t="s">
        <v>240</v>
      </c>
      <c r="B60" s="1224" t="s">
        <v>447</v>
      </c>
      <c r="C60" s="1517"/>
      <c r="D60" s="201">
        <v>0</v>
      </c>
      <c r="E60" s="202">
        <v>24</v>
      </c>
      <c r="F60" s="1203">
        <f>IF([1]Расчет!D29=0,2.21,IF([1]Расчет!D29=1,2.6,IF([1]Расчет!D29=2,2.35,2.65)))</f>
        <v>2.65</v>
      </c>
      <c r="G60" s="1204"/>
      <c r="H60" s="201">
        <f t="shared" si="3"/>
        <v>0</v>
      </c>
      <c r="I60" s="203">
        <v>71</v>
      </c>
      <c r="J60" s="553" t="str">
        <f>CONCATENATE("1-71-",[1]Расчет!D29+1)</f>
        <v>1-71-219,83</v>
      </c>
    </row>
    <row r="61" spans="1:10" ht="39" customHeight="1" x14ac:dyDescent="0.25">
      <c r="A61" s="555" t="s">
        <v>255</v>
      </c>
      <c r="B61" s="1224" t="s">
        <v>448</v>
      </c>
      <c r="C61" s="1517"/>
      <c r="D61" s="201">
        <v>0</v>
      </c>
      <c r="E61" s="202">
        <v>24</v>
      </c>
      <c r="F61" s="1203">
        <f>IF([1]Расчет!D29=0,2.1,IF([1]Расчет!D29=1,2.5,IF([1]Расчет!D29=2,2.25,2.55)))</f>
        <v>2.5499999999999998</v>
      </c>
      <c r="G61" s="1204"/>
      <c r="H61" s="201">
        <f t="shared" si="3"/>
        <v>0</v>
      </c>
      <c r="I61" s="203">
        <v>72</v>
      </c>
      <c r="J61" s="553" t="str">
        <f>CONCATENATE("1-72-",[1]Расчет!D29+1)</f>
        <v>1-72-219,83</v>
      </c>
    </row>
    <row r="62" spans="1:10" x14ac:dyDescent="0.25">
      <c r="A62" s="219"/>
      <c r="B62" s="1239" t="s">
        <v>261</v>
      </c>
      <c r="C62" s="1516"/>
      <c r="D62" s="556"/>
      <c r="E62" s="221"/>
      <c r="F62" s="839"/>
      <c r="G62" s="839"/>
      <c r="H62" s="222">
        <f>SUM(H28:H61)</f>
        <v>0</v>
      </c>
      <c r="I62" s="223"/>
      <c r="J62" s="224"/>
    </row>
    <row r="63" spans="1:10" x14ac:dyDescent="0.25">
      <c r="A63" s="1520" t="s">
        <v>460</v>
      </c>
      <c r="B63" s="1520"/>
      <c r="C63" s="1520"/>
      <c r="D63" s="1520"/>
      <c r="E63" s="1520"/>
      <c r="F63" s="1520"/>
      <c r="G63" s="1520"/>
      <c r="H63" s="1520"/>
      <c r="I63" s="1520"/>
      <c r="J63" s="1520"/>
    </row>
    <row r="64" spans="1:10" x14ac:dyDescent="0.25">
      <c r="A64" s="557"/>
      <c r="B64" s="557"/>
      <c r="C64" s="558"/>
      <c r="D64" s="558"/>
      <c r="E64" s="559"/>
      <c r="F64" s="559"/>
      <c r="G64" s="558"/>
      <c r="H64" s="559"/>
      <c r="I64" s="559"/>
      <c r="J64" s="559"/>
    </row>
    <row r="65" spans="1:10" x14ac:dyDescent="0.25">
      <c r="A65" s="1521" t="s">
        <v>680</v>
      </c>
      <c r="B65" s="1522"/>
      <c r="C65" s="1522"/>
      <c r="D65" s="1522"/>
      <c r="E65" s="1522"/>
      <c r="F65" s="1522"/>
      <c r="G65" s="1522"/>
      <c r="H65" s="1522"/>
      <c r="I65" s="1522"/>
      <c r="J65" s="1522"/>
    </row>
    <row r="66" spans="1:10" ht="96" x14ac:dyDescent="0.25">
      <c r="A66" s="1523" t="s">
        <v>186</v>
      </c>
      <c r="B66" s="1221"/>
      <c r="C66" s="229" t="s">
        <v>264</v>
      </c>
      <c r="D66" s="230" t="s">
        <v>265</v>
      </c>
      <c r="E66" s="231" t="s">
        <v>266</v>
      </c>
      <c r="F66" s="232" t="s">
        <v>681</v>
      </c>
      <c r="G66" s="232" t="s">
        <v>682</v>
      </c>
      <c r="H66" s="231" t="s">
        <v>269</v>
      </c>
      <c r="I66" s="1222" t="s">
        <v>683</v>
      </c>
      <c r="J66" s="1223"/>
    </row>
    <row r="67" spans="1:10" x14ac:dyDescent="0.25">
      <c r="A67" s="1524">
        <v>1</v>
      </c>
      <c r="B67" s="1206"/>
      <c r="C67" s="482">
        <v>2</v>
      </c>
      <c r="D67" s="199">
        <v>3</v>
      </c>
      <c r="E67" s="199">
        <v>4</v>
      </c>
      <c r="F67" s="199">
        <v>5</v>
      </c>
      <c r="G67" s="560"/>
      <c r="H67" s="199">
        <v>6</v>
      </c>
      <c r="I67" s="1525">
        <v>7</v>
      </c>
      <c r="J67" s="802"/>
    </row>
    <row r="68" spans="1:10" x14ac:dyDescent="0.25">
      <c r="A68" s="1271" t="s">
        <v>193</v>
      </c>
      <c r="B68" s="741"/>
      <c r="C68" s="235">
        <f>H62</f>
        <v>0</v>
      </c>
      <c r="D68" s="201">
        <f>J23</f>
        <v>2002</v>
      </c>
      <c r="E68" s="201">
        <f>ROUND(C68/D68,2)</f>
        <v>0</v>
      </c>
      <c r="F68" s="201">
        <f>оклади!K7</f>
        <v>4516</v>
      </c>
      <c r="G68" s="208">
        <f>E68*F68</f>
        <v>0</v>
      </c>
      <c r="H68" s="201">
        <v>0</v>
      </c>
      <c r="I68" s="1237">
        <f>G68*1.09+H68</f>
        <v>0</v>
      </c>
      <c r="J68" s="1302"/>
    </row>
    <row r="69" spans="1:10" x14ac:dyDescent="0.25">
      <c r="A69" s="561"/>
      <c r="B69" s="562"/>
      <c r="C69" s="563"/>
      <c r="D69" s="564"/>
      <c r="E69" s="564"/>
      <c r="F69" s="564"/>
      <c r="G69" s="565"/>
      <c r="H69" s="564"/>
      <c r="I69" s="564"/>
      <c r="J69" s="564"/>
    </row>
    <row r="70" spans="1:10" x14ac:dyDescent="0.25">
      <c r="A70" s="1246" t="s">
        <v>616</v>
      </c>
      <c r="B70" s="1246"/>
      <c r="C70" s="1246"/>
      <c r="D70" s="1246"/>
      <c r="E70" s="1246"/>
      <c r="F70" s="1246"/>
      <c r="G70" s="1246"/>
      <c r="H70" s="1246"/>
      <c r="I70" s="1246"/>
      <c r="J70" s="1246"/>
    </row>
    <row r="71" spans="1:10" ht="84" x14ac:dyDescent="0.25">
      <c r="A71" s="1248" t="s">
        <v>271</v>
      </c>
      <c r="B71" s="1249"/>
      <c r="C71" s="231" t="s">
        <v>272</v>
      </c>
      <c r="D71" s="231" t="s">
        <v>273</v>
      </c>
      <c r="E71" s="1248" t="s">
        <v>684</v>
      </c>
      <c r="F71" s="1250"/>
      <c r="G71" s="1248" t="s">
        <v>685</v>
      </c>
      <c r="H71" s="741"/>
      <c r="I71" s="1248" t="s">
        <v>686</v>
      </c>
      <c r="J71" s="741"/>
    </row>
    <row r="72" spans="1:10" x14ac:dyDescent="0.25">
      <c r="A72" s="1248">
        <v>1</v>
      </c>
      <c r="B72" s="1249"/>
      <c r="C72" s="231">
        <v>2</v>
      </c>
      <c r="D72" s="231">
        <v>3</v>
      </c>
      <c r="E72" s="1248">
        <v>4</v>
      </c>
      <c r="F72" s="1250"/>
      <c r="G72" s="1248">
        <v>5</v>
      </c>
      <c r="H72" s="741"/>
      <c r="I72" s="1248">
        <v>6</v>
      </c>
      <c r="J72" s="741"/>
    </row>
    <row r="73" spans="1:10" ht="25.15" customHeight="1" x14ac:dyDescent="0.25">
      <c r="A73" s="1271" t="s">
        <v>277</v>
      </c>
      <c r="B73" s="1271"/>
      <c r="C73" s="404">
        <f>прибирання!C49</f>
        <v>1845170</v>
      </c>
      <c r="D73" s="243">
        <f>прибирання!D49</f>
        <v>4483062</v>
      </c>
      <c r="E73" s="1251">
        <f>C73/D73*100</f>
        <v>41.158699121270239</v>
      </c>
      <c r="F73" s="840"/>
      <c r="G73" s="1252">
        <f>I68</f>
        <v>0</v>
      </c>
      <c r="H73" s="741"/>
      <c r="I73" s="1252">
        <f>E73*G73/100</f>
        <v>0</v>
      </c>
      <c r="J73" s="741"/>
    </row>
    <row r="74" spans="1:10" ht="26.45" customHeight="1" x14ac:dyDescent="0.25">
      <c r="A74" s="1271" t="s">
        <v>278</v>
      </c>
      <c r="B74" s="1271"/>
      <c r="C74" s="404">
        <f>прибирання!C50</f>
        <v>3447871</v>
      </c>
      <c r="D74" s="243">
        <f>прибирання!D50</f>
        <v>15293041.959999999</v>
      </c>
      <c r="E74" s="1251">
        <f>C74/D74*100</f>
        <v>22.54535761438531</v>
      </c>
      <c r="F74" s="840"/>
      <c r="G74" s="1252">
        <f>I11+I12+I14+I15+I73</f>
        <v>0</v>
      </c>
      <c r="H74" s="741"/>
      <c r="I74" s="1252">
        <f>E74*G74/100</f>
        <v>0</v>
      </c>
      <c r="J74" s="741"/>
    </row>
    <row r="75" spans="1:10" ht="35.450000000000003" customHeight="1" x14ac:dyDescent="0.25">
      <c r="A75" s="1273" t="s">
        <v>279</v>
      </c>
      <c r="B75" s="1273"/>
      <c r="C75" s="405"/>
      <c r="D75" s="406"/>
      <c r="E75" s="1257"/>
      <c r="F75" s="840"/>
      <c r="G75" s="1258"/>
      <c r="H75" s="741"/>
      <c r="I75" s="1258">
        <f>SUM(I73:I74)</f>
        <v>0</v>
      </c>
      <c r="J75" s="741"/>
    </row>
    <row r="76" spans="1:10" x14ac:dyDescent="0.25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25">
      <c r="A77" s="1255">
        <f>[1]прибир.прибуд!A81</f>
        <v>0</v>
      </c>
      <c r="B77" s="1255"/>
      <c r="C77" s="1255"/>
      <c r="D77" s="1255"/>
      <c r="E77" s="1255"/>
      <c r="F77" s="1255"/>
      <c r="G77" s="1255"/>
      <c r="H77" s="1255"/>
      <c r="I77" s="1255"/>
      <c r="J77" s="1255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scale="9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19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Дніпра7</v>
      </c>
      <c r="G1" s="1167" t="s">
        <v>209</v>
      </c>
      <c r="H1" s="1167"/>
      <c r="I1" s="1167"/>
      <c r="J1" s="1167"/>
    </row>
    <row r="2" spans="1:10" x14ac:dyDescent="0.25">
      <c r="G2" s="1167" t="s">
        <v>104</v>
      </c>
      <c r="H2" s="1167"/>
      <c r="I2" s="1167"/>
      <c r="J2" s="1167"/>
    </row>
    <row r="3" spans="1:10" x14ac:dyDescent="0.25">
      <c r="G3" s="1171" t="s">
        <v>629</v>
      </c>
      <c r="H3" s="1171"/>
      <c r="I3" s="1171"/>
      <c r="J3" s="1171"/>
    </row>
    <row r="4" spans="1:10" x14ac:dyDescent="0.25">
      <c r="G4" s="252"/>
      <c r="H4" s="253"/>
      <c r="I4" s="1168" t="s">
        <v>288</v>
      </c>
      <c r="J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0" ht="33.6" customHeight="1" x14ac:dyDescent="0.25">
      <c r="A7" s="1477" t="s">
        <v>931</v>
      </c>
      <c r="B7" s="1477"/>
      <c r="C7" s="1477"/>
      <c r="D7" s="1477"/>
      <c r="E7" s="1477"/>
      <c r="F7" s="1477"/>
      <c r="G7" s="1477"/>
      <c r="H7" s="1477"/>
      <c r="I7" s="1477"/>
      <c r="J7" s="1477"/>
    </row>
    <row r="9" spans="1:10" x14ac:dyDescent="0.25">
      <c r="A9" s="244" t="s">
        <v>735</v>
      </c>
    </row>
    <row r="10" spans="1:10" ht="25.5" x14ac:dyDescent="0.25">
      <c r="A10" s="184" t="s">
        <v>211</v>
      </c>
      <c r="B10" s="1162" t="s">
        <v>212</v>
      </c>
      <c r="C10" s="1163"/>
      <c r="D10" s="1163"/>
      <c r="E10" s="1163"/>
      <c r="F10" s="184" t="s">
        <v>213</v>
      </c>
      <c r="G10" s="1162" t="s">
        <v>214</v>
      </c>
      <c r="H10" s="1163"/>
      <c r="I10" s="1162" t="s">
        <v>215</v>
      </c>
      <c r="J10" s="1164"/>
    </row>
    <row r="11" spans="1:10" ht="24" customHeight="1" x14ac:dyDescent="0.25">
      <c r="A11" s="184">
        <v>1</v>
      </c>
      <c r="B11" s="1172" t="s">
        <v>736</v>
      </c>
      <c r="C11" s="1151"/>
      <c r="D11" s="1151"/>
      <c r="E11" s="1151"/>
      <c r="F11" s="261" t="s">
        <v>177</v>
      </c>
      <c r="G11" s="1174">
        <f>I11*12</f>
        <v>1947.0101760000002</v>
      </c>
      <c r="H11" s="1175"/>
      <c r="I11" s="1174">
        <f>I57</f>
        <v>162.25084800000002</v>
      </c>
      <c r="J11" s="1176"/>
    </row>
    <row r="12" spans="1:10" ht="48.6" customHeight="1" x14ac:dyDescent="0.25">
      <c r="A12" s="184">
        <v>2</v>
      </c>
      <c r="B12" s="1177" t="s">
        <v>632</v>
      </c>
      <c r="C12" s="1178"/>
      <c r="D12" s="1178"/>
      <c r="E12" s="1178"/>
      <c r="F12" s="261" t="s">
        <v>177</v>
      </c>
      <c r="G12" s="1174">
        <f>I12*12</f>
        <v>428.34223872000007</v>
      </c>
      <c r="H12" s="1175"/>
      <c r="I12" s="1174">
        <f>I11*розрахунок!D13/100</f>
        <v>35.695186560000003</v>
      </c>
      <c r="J12" s="1176"/>
    </row>
    <row r="13" spans="1:10" x14ac:dyDescent="0.25">
      <c r="A13" s="184">
        <v>3</v>
      </c>
      <c r="B13" s="1172" t="s">
        <v>495</v>
      </c>
      <c r="C13" s="1173"/>
      <c r="D13" s="1173"/>
      <c r="E13" s="1173"/>
      <c r="F13" s="261" t="s">
        <v>177</v>
      </c>
      <c r="G13" s="1174">
        <f>I13*12</f>
        <v>1699.4938457262319</v>
      </c>
      <c r="H13" s="1175"/>
      <c r="I13" s="1174">
        <f>I64</f>
        <v>141.62448714385266</v>
      </c>
      <c r="J13" s="1176"/>
    </row>
    <row r="14" spans="1:10" x14ac:dyDescent="0.25">
      <c r="A14" s="184">
        <v>4</v>
      </c>
      <c r="B14" s="1172" t="s">
        <v>633</v>
      </c>
      <c r="C14" s="1173"/>
      <c r="D14" s="1173"/>
      <c r="E14" s="1173"/>
      <c r="F14" s="261" t="s">
        <v>177</v>
      </c>
      <c r="G14" s="1174">
        <f>G15+G16</f>
        <v>233.56491</v>
      </c>
      <c r="H14" s="1175"/>
      <c r="I14" s="1174">
        <f>I15+I16</f>
        <v>19.463742499999999</v>
      </c>
      <c r="J14" s="1176"/>
    </row>
    <row r="15" spans="1:10" x14ac:dyDescent="0.25">
      <c r="A15" s="570" t="s">
        <v>690</v>
      </c>
      <c r="B15" s="1261" t="s">
        <v>691</v>
      </c>
      <c r="C15" s="1366"/>
      <c r="D15" s="1366"/>
      <c r="E15" s="1367"/>
      <c r="F15" s="261" t="s">
        <v>177</v>
      </c>
      <c r="G15" s="1174">
        <f>I15*12</f>
        <v>71.032650000000004</v>
      </c>
      <c r="H15" s="1175"/>
      <c r="I15" s="1179">
        <f>інвентар!I8</f>
        <v>5.9193875</v>
      </c>
      <c r="J15" s="1368"/>
    </row>
    <row r="16" spans="1:10" x14ac:dyDescent="0.25">
      <c r="A16" s="570" t="s">
        <v>692</v>
      </c>
      <c r="B16" s="1261" t="s">
        <v>693</v>
      </c>
      <c r="C16" s="1366"/>
      <c r="D16" s="1366"/>
      <c r="E16" s="1367"/>
      <c r="F16" s="261" t="s">
        <v>177</v>
      </c>
      <c r="G16" s="1179">
        <f>I16*12</f>
        <v>162.53225999999998</v>
      </c>
      <c r="H16" s="1368"/>
      <c r="I16" s="1179">
        <f>J69/12</f>
        <v>13.544354999999998</v>
      </c>
      <c r="J16" s="1368"/>
    </row>
    <row r="17" spans="1:10" x14ac:dyDescent="0.25">
      <c r="A17" s="184">
        <v>5</v>
      </c>
      <c r="B17" s="1172" t="s">
        <v>482</v>
      </c>
      <c r="C17" s="1173"/>
      <c r="D17" s="1173"/>
      <c r="E17" s="1173"/>
      <c r="F17" s="261" t="s">
        <v>177</v>
      </c>
      <c r="G17" s="1174">
        <f>I17*12</f>
        <v>0</v>
      </c>
      <c r="H17" s="1175"/>
      <c r="I17" s="1179">
        <v>0</v>
      </c>
      <c r="J17" s="1180"/>
    </row>
    <row r="18" spans="1:10" ht="44.45" customHeight="1" x14ac:dyDescent="0.25">
      <c r="A18" s="184">
        <v>6</v>
      </c>
      <c r="B18" s="1484" t="s">
        <v>738</v>
      </c>
      <c r="C18" s="1485"/>
      <c r="D18" s="1485"/>
      <c r="E18" s="1485"/>
      <c r="F18" s="184" t="s">
        <v>177</v>
      </c>
      <c r="G18" s="1183">
        <f>G11+G12+G13+G14+G17</f>
        <v>4308.4111704462321</v>
      </c>
      <c r="H18" s="1184"/>
      <c r="I18" s="1183">
        <f>I11+I12+I13+I14+I17</f>
        <v>359.03426420385273</v>
      </c>
      <c r="J18" s="1184"/>
    </row>
    <row r="19" spans="1:10" x14ac:dyDescent="0.25">
      <c r="A19" s="184">
        <v>7</v>
      </c>
      <c r="B19" s="1172" t="s">
        <v>694</v>
      </c>
      <c r="C19" s="1173"/>
      <c r="D19" s="1173"/>
      <c r="E19" s="1173"/>
      <c r="F19" s="261" t="s">
        <v>637</v>
      </c>
      <c r="G19" s="1179">
        <v>7600</v>
      </c>
      <c r="H19" s="1551"/>
      <c r="I19" s="1179">
        <f>G19/12</f>
        <v>633.33333333333337</v>
      </c>
      <c r="J19" s="1551"/>
    </row>
    <row r="20" spans="1:10" ht="25.5" x14ac:dyDescent="0.25">
      <c r="A20" s="184">
        <v>8</v>
      </c>
      <c r="B20" s="1172" t="s">
        <v>695</v>
      </c>
      <c r="C20" s="1173"/>
      <c r="D20" s="1173"/>
      <c r="E20" s="1173"/>
      <c r="F20" s="261" t="s">
        <v>696</v>
      </c>
      <c r="G20" s="1549">
        <v>2.5999999999999998E-4</v>
      </c>
      <c r="H20" s="1550"/>
      <c r="I20" s="1549">
        <v>2.5999999999999998E-4</v>
      </c>
      <c r="J20" s="1550"/>
    </row>
    <row r="21" spans="1:10" x14ac:dyDescent="0.25">
      <c r="A21" s="184">
        <v>9</v>
      </c>
      <c r="B21" s="1172" t="s">
        <v>697</v>
      </c>
      <c r="C21" s="1173"/>
      <c r="D21" s="1173"/>
      <c r="E21" s="1173"/>
      <c r="F21" s="261" t="s">
        <v>177</v>
      </c>
      <c r="G21" s="1179">
        <f>розрахунок!D24</f>
        <v>290.17</v>
      </c>
      <c r="H21" s="1551"/>
      <c r="I21" s="1179">
        <f>розрахунок!D24</f>
        <v>290.17</v>
      </c>
      <c r="J21" s="1551"/>
    </row>
    <row r="22" spans="1:10" ht="41.45" customHeight="1" x14ac:dyDescent="0.25">
      <c r="A22" s="184">
        <v>10</v>
      </c>
      <c r="B22" s="1484" t="s">
        <v>739</v>
      </c>
      <c r="C22" s="1485"/>
      <c r="D22" s="1485"/>
      <c r="E22" s="1485"/>
      <c r="F22" s="261" t="s">
        <v>177</v>
      </c>
      <c r="G22" s="1188">
        <f>G19*G20*G21</f>
        <v>573.37591999999995</v>
      </c>
      <c r="H22" s="1548"/>
      <c r="I22" s="1188">
        <f>I19*I20*I21</f>
        <v>47.781326666666665</v>
      </c>
      <c r="J22" s="1548"/>
    </row>
    <row r="23" spans="1:10" x14ac:dyDescent="0.25">
      <c r="A23" s="184">
        <v>11</v>
      </c>
      <c r="B23" s="1181" t="s">
        <v>660</v>
      </c>
      <c r="C23" s="1182"/>
      <c r="D23" s="1182"/>
      <c r="E23" s="1182"/>
      <c r="F23" s="184" t="s">
        <v>177</v>
      </c>
      <c r="G23" s="1183">
        <f>G18+G22</f>
        <v>4881.7870904462325</v>
      </c>
      <c r="H23" s="1184"/>
      <c r="I23" s="1183">
        <f>I18+I22</f>
        <v>406.81559087051937</v>
      </c>
      <c r="J23" s="1185"/>
    </row>
    <row r="24" spans="1:10" ht="15.75" x14ac:dyDescent="0.25">
      <c r="A24" s="184">
        <v>12</v>
      </c>
      <c r="B24" s="1545" t="s">
        <v>119</v>
      </c>
      <c r="C24" s="1546"/>
      <c r="D24" s="1546"/>
      <c r="E24" s="1546"/>
      <c r="F24" s="184" t="s">
        <v>218</v>
      </c>
      <c r="G24" s="1188">
        <f>Характеристика!N18</f>
        <v>2981.4</v>
      </c>
      <c r="H24" s="1189"/>
      <c r="I24" s="1189"/>
      <c r="J24" s="1190"/>
    </row>
    <row r="25" spans="1:10" x14ac:dyDescent="0.25">
      <c r="A25" s="184">
        <v>13</v>
      </c>
      <c r="B25" s="1181" t="s">
        <v>493</v>
      </c>
      <c r="C25" s="1163"/>
      <c r="D25" s="1163"/>
      <c r="E25" s="1163"/>
      <c r="F25" s="184" t="s">
        <v>177</v>
      </c>
      <c r="G25" s="1191">
        <f>I23/G24</f>
        <v>0.13645119436188347</v>
      </c>
      <c r="H25" s="1192"/>
      <c r="I25" s="1547"/>
      <c r="J25" s="1266"/>
    </row>
    <row r="26" spans="1:10" x14ac:dyDescent="0.25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25">
      <c r="A27" s="183" t="s">
        <v>219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x14ac:dyDescent="0.25">
      <c r="A28" s="151"/>
      <c r="B28" s="151"/>
      <c r="C28" s="571"/>
      <c r="D28" s="571"/>
      <c r="E28" s="571"/>
      <c r="F28" s="571"/>
      <c r="G28" s="187"/>
      <c r="H28" s="187"/>
      <c r="I28" s="188"/>
      <c r="J28" s="188"/>
    </row>
    <row r="29" spans="1:10" ht="46.9" customHeight="1" x14ac:dyDescent="0.25">
      <c r="A29" s="1195" t="s">
        <v>698</v>
      </c>
      <c r="B29" s="1195"/>
      <c r="C29" s="1195"/>
      <c r="D29" s="1195"/>
      <c r="E29" s="1195"/>
      <c r="F29" s="1195"/>
      <c r="G29" s="1195"/>
      <c r="H29" s="1195"/>
      <c r="I29" s="1195"/>
      <c r="J29" s="1195"/>
    </row>
    <row r="30" spans="1:10" ht="37.15" customHeight="1" x14ac:dyDescent="0.25">
      <c r="A30" s="1196" t="s">
        <v>499</v>
      </c>
      <c r="B30" s="1197"/>
      <c r="C30" s="1197"/>
      <c r="D30" s="1197"/>
      <c r="E30" s="1197"/>
      <c r="F30" s="1197"/>
      <c r="G30" s="1197"/>
      <c r="H30" s="1197"/>
      <c r="I30" s="1197"/>
      <c r="J30" s="1197"/>
    </row>
    <row r="31" spans="1:10" x14ac:dyDescent="0.25">
      <c r="A31" s="1212" t="s">
        <v>737</v>
      </c>
      <c r="B31" s="1213"/>
      <c r="C31" s="1213"/>
      <c r="D31" s="1213"/>
      <c r="E31" s="1214" t="s">
        <v>221</v>
      </c>
      <c r="F31" s="1214"/>
      <c r="G31" s="189">
        <f>розрахунок!D17</f>
        <v>251</v>
      </c>
      <c r="H31" s="1214" t="s">
        <v>222</v>
      </c>
      <c r="I31" s="1214"/>
      <c r="J31" s="189">
        <f>розрахунок!D19</f>
        <v>2002</v>
      </c>
    </row>
    <row r="32" spans="1:10" x14ac:dyDescent="0.25">
      <c r="A32" s="412"/>
      <c r="B32" s="480"/>
      <c r="C32" s="480"/>
      <c r="D32" s="480"/>
      <c r="E32" s="480"/>
      <c r="F32" s="480"/>
      <c r="G32" s="480"/>
      <c r="H32" s="480"/>
      <c r="I32" s="480"/>
      <c r="J32" s="480"/>
    </row>
    <row r="33" spans="1:10" x14ac:dyDescent="0.25">
      <c r="A33" s="544" t="s">
        <v>223</v>
      </c>
      <c r="B33" s="1506" t="s">
        <v>224</v>
      </c>
      <c r="C33" s="1506"/>
      <c r="D33" s="1506"/>
      <c r="E33" s="1506"/>
      <c r="F33" s="1506"/>
      <c r="G33" s="192"/>
      <c r="H33" s="192"/>
      <c r="I33" s="192"/>
      <c r="J33" s="192"/>
    </row>
    <row r="34" spans="1:10" ht="123.75" x14ac:dyDescent="0.25">
      <c r="A34" s="193" t="s">
        <v>225</v>
      </c>
      <c r="B34" s="1216" t="s">
        <v>226</v>
      </c>
      <c r="C34" s="1217"/>
      <c r="D34" s="194" t="s">
        <v>227</v>
      </c>
      <c r="E34" s="195" t="s">
        <v>228</v>
      </c>
      <c r="F34" s="1218" t="s">
        <v>229</v>
      </c>
      <c r="G34" s="1217"/>
      <c r="H34" s="196" t="s">
        <v>230</v>
      </c>
      <c r="I34" s="197" t="s">
        <v>231</v>
      </c>
      <c r="J34" s="197" t="s">
        <v>232</v>
      </c>
    </row>
    <row r="35" spans="1:10" x14ac:dyDescent="0.25">
      <c r="A35" s="198">
        <v>1</v>
      </c>
      <c r="B35" s="1205">
        <v>2</v>
      </c>
      <c r="C35" s="1206"/>
      <c r="D35" s="199">
        <v>3</v>
      </c>
      <c r="E35" s="199">
        <v>4</v>
      </c>
      <c r="F35" s="1207">
        <v>5</v>
      </c>
      <c r="G35" s="1208"/>
      <c r="H35" s="199">
        <v>6</v>
      </c>
      <c r="I35" s="199">
        <v>7</v>
      </c>
      <c r="J35" s="199">
        <v>8</v>
      </c>
    </row>
    <row r="36" spans="1:10" x14ac:dyDescent="0.25">
      <c r="A36" s="200">
        <v>1</v>
      </c>
      <c r="B36" s="1543" t="s">
        <v>699</v>
      </c>
      <c r="C36" s="1544"/>
      <c r="D36" s="842"/>
      <c r="E36" s="842"/>
      <c r="F36" s="842"/>
      <c r="G36" s="842"/>
      <c r="H36" s="572"/>
      <c r="I36" s="573"/>
      <c r="J36" s="574"/>
    </row>
    <row r="37" spans="1:10" ht="37.15" customHeight="1" x14ac:dyDescent="0.25">
      <c r="A37" s="200"/>
      <c r="B37" s="1534" t="s">
        <v>700</v>
      </c>
      <c r="C37" s="1150"/>
      <c r="D37" s="201">
        <v>102</v>
      </c>
      <c r="E37" s="236">
        <v>10</v>
      </c>
      <c r="F37" s="1535">
        <v>0.7</v>
      </c>
      <c r="G37" s="1536"/>
      <c r="H37" s="201">
        <f t="shared" ref="H37:H45" si="0">D37/100*F37*E37</f>
        <v>7.14</v>
      </c>
      <c r="I37" s="233">
        <v>2</v>
      </c>
      <c r="J37" s="575" t="s">
        <v>701</v>
      </c>
    </row>
    <row r="38" spans="1:10" ht="32.450000000000003" hidden="1" customHeight="1" x14ac:dyDescent="0.25">
      <c r="A38" s="200"/>
      <c r="B38" s="1534"/>
      <c r="C38" s="1150"/>
      <c r="D38" s="201"/>
      <c r="E38" s="236"/>
      <c r="F38" s="1535"/>
      <c r="G38" s="1536"/>
      <c r="H38" s="201"/>
      <c r="I38" s="233"/>
      <c r="J38" s="575"/>
    </row>
    <row r="39" spans="1:10" ht="40.15" hidden="1" customHeight="1" x14ac:dyDescent="0.25">
      <c r="A39" s="200"/>
      <c r="B39" s="1534" t="s">
        <v>702</v>
      </c>
      <c r="C39" s="1150"/>
      <c r="D39" s="201"/>
      <c r="E39" s="236">
        <v>6</v>
      </c>
      <c r="F39" s="1535">
        <v>1.1000000000000001</v>
      </c>
      <c r="G39" s="1536"/>
      <c r="H39" s="201">
        <f t="shared" si="0"/>
        <v>0</v>
      </c>
      <c r="I39" s="233">
        <v>2</v>
      </c>
      <c r="J39" s="575" t="s">
        <v>703</v>
      </c>
    </row>
    <row r="40" spans="1:10" ht="34.9" hidden="1" customHeight="1" x14ac:dyDescent="0.25">
      <c r="A40" s="200"/>
      <c r="B40" s="1534" t="s">
        <v>704</v>
      </c>
      <c r="C40" s="1150"/>
      <c r="D40" s="201"/>
      <c r="E40" s="236">
        <v>6</v>
      </c>
      <c r="F40" s="1535">
        <v>0.9</v>
      </c>
      <c r="G40" s="1536"/>
      <c r="H40" s="201">
        <f t="shared" si="0"/>
        <v>0</v>
      </c>
      <c r="I40" s="233">
        <v>2</v>
      </c>
      <c r="J40" s="575" t="s">
        <v>705</v>
      </c>
    </row>
    <row r="41" spans="1:10" ht="38.450000000000003" hidden="1" customHeight="1" x14ac:dyDescent="0.25">
      <c r="A41" s="200"/>
      <c r="B41" s="1534" t="s">
        <v>706</v>
      </c>
      <c r="C41" s="1150"/>
      <c r="D41" s="201"/>
      <c r="E41" s="236">
        <v>6</v>
      </c>
      <c r="F41" s="1535">
        <v>1.1000000000000001</v>
      </c>
      <c r="G41" s="1536"/>
      <c r="H41" s="201">
        <f t="shared" si="0"/>
        <v>0</v>
      </c>
      <c r="I41" s="233">
        <v>2</v>
      </c>
      <c r="J41" s="575" t="s">
        <v>707</v>
      </c>
    </row>
    <row r="42" spans="1:10" ht="38.450000000000003" hidden="1" customHeight="1" x14ac:dyDescent="0.25">
      <c r="A42" s="200"/>
      <c r="B42" s="1534" t="s">
        <v>708</v>
      </c>
      <c r="C42" s="1150"/>
      <c r="D42" s="201"/>
      <c r="E42" s="236">
        <v>6</v>
      </c>
      <c r="F42" s="1535">
        <v>1.35</v>
      </c>
      <c r="G42" s="1536"/>
      <c r="H42" s="201">
        <f t="shared" si="0"/>
        <v>0</v>
      </c>
      <c r="I42" s="233">
        <v>2</v>
      </c>
      <c r="J42" s="575" t="s">
        <v>709</v>
      </c>
    </row>
    <row r="43" spans="1:10" ht="32.450000000000003" customHeight="1" x14ac:dyDescent="0.25">
      <c r="A43" s="200" t="s">
        <v>235</v>
      </c>
      <c r="B43" s="1512" t="s">
        <v>710</v>
      </c>
      <c r="C43" s="1541"/>
      <c r="D43" s="201">
        <v>102</v>
      </c>
      <c r="E43" s="236">
        <v>10</v>
      </c>
      <c r="F43" s="1203">
        <v>0.18</v>
      </c>
      <c r="G43" s="1542"/>
      <c r="H43" s="201">
        <f t="shared" si="0"/>
        <v>1.8359999999999999</v>
      </c>
      <c r="I43" s="545">
        <v>2</v>
      </c>
      <c r="J43" s="575" t="s">
        <v>711</v>
      </c>
    </row>
    <row r="44" spans="1:10" ht="30" hidden="1" customHeight="1" x14ac:dyDescent="0.25">
      <c r="A44" s="200"/>
      <c r="B44" s="1534" t="s">
        <v>712</v>
      </c>
      <c r="C44" s="1150"/>
      <c r="D44" s="201"/>
      <c r="E44" s="236">
        <v>6</v>
      </c>
      <c r="F44" s="1535">
        <v>1</v>
      </c>
      <c r="G44" s="1536"/>
      <c r="H44" s="201">
        <f t="shared" si="0"/>
        <v>0</v>
      </c>
      <c r="I44" s="233">
        <v>2</v>
      </c>
      <c r="J44" s="575" t="s">
        <v>713</v>
      </c>
    </row>
    <row r="45" spans="1:10" ht="45" hidden="1" customHeight="1" x14ac:dyDescent="0.25">
      <c r="A45" s="200"/>
      <c r="B45" s="1534" t="s">
        <v>714</v>
      </c>
      <c r="C45" s="1150"/>
      <c r="D45" s="201">
        <f>[1]Таблица_Характеристика!M58+[1]Таблица_Характеристика!N58</f>
        <v>0</v>
      </c>
      <c r="E45" s="236">
        <v>6</v>
      </c>
      <c r="F45" s="1535">
        <v>1.2</v>
      </c>
      <c r="G45" s="1536"/>
      <c r="H45" s="201">
        <f t="shared" si="0"/>
        <v>0</v>
      </c>
      <c r="I45" s="233">
        <v>2</v>
      </c>
      <c r="J45" s="575" t="s">
        <v>715</v>
      </c>
    </row>
    <row r="46" spans="1:10" hidden="1" x14ac:dyDescent="0.25">
      <c r="A46" s="200" t="s">
        <v>235</v>
      </c>
      <c r="B46" s="1537" t="s">
        <v>716</v>
      </c>
      <c r="C46" s="1538"/>
      <c r="D46" s="1539"/>
      <c r="E46" s="1539"/>
      <c r="F46" s="1539"/>
      <c r="G46" s="1539"/>
      <c r="H46" s="1540"/>
      <c r="I46" s="233"/>
      <c r="J46" s="575"/>
    </row>
    <row r="47" spans="1:10" ht="34.9" hidden="1" customHeight="1" x14ac:dyDescent="0.25">
      <c r="A47" s="200"/>
      <c r="B47" s="1228" t="s">
        <v>717</v>
      </c>
      <c r="C47" s="1505"/>
      <c r="D47" s="201"/>
      <c r="E47" s="236">
        <v>6</v>
      </c>
      <c r="F47" s="1203">
        <v>8.33</v>
      </c>
      <c r="G47" s="1302"/>
      <c r="H47" s="201"/>
      <c r="I47" s="233">
        <v>18</v>
      </c>
      <c r="J47" s="575" t="s">
        <v>718</v>
      </c>
    </row>
    <row r="48" spans="1:10" ht="35.450000000000003" customHeight="1" x14ac:dyDescent="0.25">
      <c r="A48" s="200" t="s">
        <v>239</v>
      </c>
      <c r="B48" s="1198" t="s">
        <v>719</v>
      </c>
      <c r="C48" s="1531"/>
      <c r="D48" s="205">
        <v>12</v>
      </c>
      <c r="E48" s="576">
        <v>20</v>
      </c>
      <c r="F48" s="1532">
        <v>3.6</v>
      </c>
      <c r="G48" s="1533"/>
      <c r="H48" s="205">
        <f>F48/100*D48*E48</f>
        <v>8.64</v>
      </c>
      <c r="I48" s="199">
        <v>3</v>
      </c>
      <c r="J48" s="577" t="s">
        <v>720</v>
      </c>
    </row>
    <row r="49" spans="1:10" ht="35.450000000000003" customHeight="1" x14ac:dyDescent="0.25">
      <c r="A49" s="200" t="s">
        <v>240</v>
      </c>
      <c r="B49" s="1198" t="s">
        <v>721</v>
      </c>
      <c r="C49" s="1531"/>
      <c r="D49" s="205">
        <v>40</v>
      </c>
      <c r="E49" s="576">
        <v>10</v>
      </c>
      <c r="F49" s="1532">
        <v>0.69</v>
      </c>
      <c r="G49" s="1533"/>
      <c r="H49" s="205">
        <f>F49/10*D49*E49</f>
        <v>27.599999999999998</v>
      </c>
      <c r="I49" s="199">
        <v>9</v>
      </c>
      <c r="J49" s="577" t="s">
        <v>722</v>
      </c>
    </row>
    <row r="50" spans="1:10" ht="33.6" customHeight="1" x14ac:dyDescent="0.25">
      <c r="A50" s="200" t="s">
        <v>255</v>
      </c>
      <c r="B50" s="1198" t="s">
        <v>723</v>
      </c>
      <c r="C50" s="1531"/>
      <c r="D50" s="205">
        <v>4</v>
      </c>
      <c r="E50" s="576">
        <v>10</v>
      </c>
      <c r="F50" s="1532">
        <v>0.6</v>
      </c>
      <c r="G50" s="1533"/>
      <c r="H50" s="205">
        <f>F50/10*D50*E50</f>
        <v>2.4</v>
      </c>
      <c r="I50" s="199">
        <v>13</v>
      </c>
      <c r="J50" s="577" t="s">
        <v>724</v>
      </c>
    </row>
    <row r="51" spans="1:10" ht="33.6" customHeight="1" x14ac:dyDescent="0.25">
      <c r="A51" s="200" t="s">
        <v>258</v>
      </c>
      <c r="B51" s="1198" t="s">
        <v>904</v>
      </c>
      <c r="C51" s="1531"/>
      <c r="D51" s="205">
        <f>Характеристика!H44</f>
        <v>166</v>
      </c>
      <c r="E51" s="576">
        <v>20</v>
      </c>
      <c r="F51" s="1532">
        <v>0.2</v>
      </c>
      <c r="G51" s="1533"/>
      <c r="H51" s="205">
        <f>F51/100*D51*E51</f>
        <v>6.6400000000000006</v>
      </c>
      <c r="I51" s="199">
        <v>20</v>
      </c>
      <c r="J51" s="577" t="s">
        <v>472</v>
      </c>
    </row>
    <row r="52" spans="1:10" x14ac:dyDescent="0.25">
      <c r="A52" s="219"/>
      <c r="B52" s="1239" t="s">
        <v>261</v>
      </c>
      <c r="C52" s="1240"/>
      <c r="D52" s="220"/>
      <c r="E52" s="221"/>
      <c r="F52" s="1241"/>
      <c r="G52" s="1241"/>
      <c r="H52" s="222">
        <f>SUM(H37:H51)</f>
        <v>54.255999999999993</v>
      </c>
      <c r="I52" s="223"/>
      <c r="J52" s="224"/>
    </row>
    <row r="53" spans="1:10" x14ac:dyDescent="0.25">
      <c r="A53" s="225"/>
      <c r="B53" s="226"/>
      <c r="C53" s="226"/>
      <c r="D53" s="225"/>
      <c r="E53" s="225"/>
      <c r="F53" s="225"/>
      <c r="G53" s="225"/>
      <c r="H53" s="227"/>
      <c r="I53" s="228"/>
      <c r="J53" s="228"/>
    </row>
    <row r="54" spans="1:10" x14ac:dyDescent="0.25">
      <c r="A54" s="1246" t="s">
        <v>263</v>
      </c>
      <c r="B54" s="1247"/>
      <c r="C54" s="1247"/>
      <c r="D54" s="1247"/>
      <c r="E54" s="1247"/>
      <c r="F54" s="1247"/>
      <c r="G54" s="1247"/>
      <c r="H54" s="1247"/>
      <c r="I54" s="1247"/>
      <c r="J54" s="1247"/>
    </row>
    <row r="55" spans="1:10" ht="84" x14ac:dyDescent="0.25">
      <c r="A55" s="1523" t="s">
        <v>186</v>
      </c>
      <c r="B55" s="1221"/>
      <c r="C55" s="229" t="s">
        <v>264</v>
      </c>
      <c r="D55" s="230" t="s">
        <v>265</v>
      </c>
      <c r="E55" s="231" t="s">
        <v>266</v>
      </c>
      <c r="F55" s="232" t="s">
        <v>267</v>
      </c>
      <c r="G55" s="232" t="s">
        <v>268</v>
      </c>
      <c r="H55" s="231" t="s">
        <v>269</v>
      </c>
      <c r="I55" s="1222" t="s">
        <v>945</v>
      </c>
      <c r="J55" s="1223"/>
    </row>
    <row r="56" spans="1:10" x14ac:dyDescent="0.25">
      <c r="A56" s="1276">
        <v>1</v>
      </c>
      <c r="B56" s="1221"/>
      <c r="C56" s="230">
        <v>2</v>
      </c>
      <c r="D56" s="233">
        <v>3</v>
      </c>
      <c r="E56" s="233">
        <v>4</v>
      </c>
      <c r="F56" s="233">
        <v>5</v>
      </c>
      <c r="G56" s="234"/>
      <c r="H56" s="233">
        <v>6</v>
      </c>
      <c r="I56" s="1234">
        <v>7</v>
      </c>
      <c r="J56" s="1235"/>
    </row>
    <row r="57" spans="1:10" x14ac:dyDescent="0.25">
      <c r="A57" s="1271" t="s">
        <v>193</v>
      </c>
      <c r="B57" s="741"/>
      <c r="C57" s="235">
        <f>H52</f>
        <v>54.255999999999993</v>
      </c>
      <c r="D57" s="236">
        <f>J31</f>
        <v>2002</v>
      </c>
      <c r="E57" s="201">
        <f>ROUND(C57/D57,2)</f>
        <v>0.03</v>
      </c>
      <c r="F57" s="201">
        <f>оклади!K7</f>
        <v>4516</v>
      </c>
      <c r="G57" s="208">
        <f>E57*F57</f>
        <v>135.47999999999999</v>
      </c>
      <c r="H57" s="201">
        <f>G57*0.13</f>
        <v>17.612400000000001</v>
      </c>
      <c r="I57" s="1237">
        <f>G57*1.0676+H57</f>
        <v>162.25084800000002</v>
      </c>
      <c r="J57" s="1238"/>
    </row>
    <row r="58" spans="1:10" x14ac:dyDescent="0.25">
      <c r="A58" s="561"/>
      <c r="B58" s="507"/>
      <c r="C58" s="578"/>
      <c r="D58" s="579"/>
      <c r="E58" s="579"/>
      <c r="F58" s="579"/>
      <c r="G58" s="580"/>
      <c r="H58" s="579"/>
      <c r="I58" s="579"/>
      <c r="J58" s="581"/>
    </row>
    <row r="59" spans="1:10" x14ac:dyDescent="0.25">
      <c r="A59" s="1530" t="s">
        <v>616</v>
      </c>
      <c r="B59" s="1530"/>
      <c r="C59" s="1530"/>
      <c r="D59" s="1530"/>
      <c r="E59" s="1530"/>
      <c r="F59" s="1530"/>
      <c r="G59" s="1530"/>
      <c r="H59" s="1530"/>
      <c r="I59" s="1530"/>
      <c r="J59" s="1530"/>
    </row>
    <row r="60" spans="1:10" ht="60" x14ac:dyDescent="0.25">
      <c r="A60" s="1248" t="s">
        <v>271</v>
      </c>
      <c r="B60" s="1249"/>
      <c r="C60" s="231" t="s">
        <v>272</v>
      </c>
      <c r="D60" s="1248" t="s">
        <v>488</v>
      </c>
      <c r="E60" s="741"/>
      <c r="F60" s="231" t="s">
        <v>274</v>
      </c>
      <c r="G60" s="1248" t="s">
        <v>725</v>
      </c>
      <c r="H60" s="741"/>
      <c r="I60" s="1248" t="s">
        <v>726</v>
      </c>
      <c r="J60" s="741"/>
    </row>
    <row r="61" spans="1:10" x14ac:dyDescent="0.25">
      <c r="A61" s="1248">
        <v>1</v>
      </c>
      <c r="B61" s="1249"/>
      <c r="C61" s="231">
        <v>2</v>
      </c>
      <c r="D61" s="1248">
        <v>3</v>
      </c>
      <c r="E61" s="741"/>
      <c r="F61" s="231">
        <v>4</v>
      </c>
      <c r="G61" s="1248">
        <v>5</v>
      </c>
      <c r="H61" s="741"/>
      <c r="I61" s="1248">
        <v>6</v>
      </c>
      <c r="J61" s="741"/>
    </row>
    <row r="62" spans="1:10" ht="44.45" customHeight="1" x14ac:dyDescent="0.25">
      <c r="A62" s="1271" t="s">
        <v>277</v>
      </c>
      <c r="B62" s="1271"/>
      <c r="C62" s="404">
        <f>сход.клітки!C73</f>
        <v>1845170</v>
      </c>
      <c r="D62" s="1252">
        <f>сход.клітки!D73</f>
        <v>4483062</v>
      </c>
      <c r="E62" s="741"/>
      <c r="F62" s="477">
        <f>C62/D62*100</f>
        <v>41.158699121270239</v>
      </c>
      <c r="G62" s="1252">
        <f>I57</f>
        <v>162.25084800000002</v>
      </c>
      <c r="H62" s="741"/>
      <c r="I62" s="1252">
        <f>F62*G62/100</f>
        <v>66.78033835002951</v>
      </c>
      <c r="J62" s="741"/>
    </row>
    <row r="63" spans="1:10" ht="22.15" customHeight="1" x14ac:dyDescent="0.25">
      <c r="A63" s="1271" t="s">
        <v>727</v>
      </c>
      <c r="B63" s="1271"/>
      <c r="C63" s="404">
        <f>сход.клітки!C74</f>
        <v>3447871</v>
      </c>
      <c r="D63" s="1252">
        <f>сход.клітки!D74</f>
        <v>15293041.959999999</v>
      </c>
      <c r="E63" s="741"/>
      <c r="F63" s="477">
        <f>C63/D63*100</f>
        <v>22.54535761438531</v>
      </c>
      <c r="G63" s="1252">
        <f>I11+I12+I14+I17+I22+I62</f>
        <v>331.97144207669618</v>
      </c>
      <c r="H63" s="741"/>
      <c r="I63" s="1252">
        <f>F63*G63/100</f>
        <v>74.844148793823138</v>
      </c>
      <c r="J63" s="741"/>
    </row>
    <row r="64" spans="1:10" x14ac:dyDescent="0.25">
      <c r="A64" s="1273" t="s">
        <v>217</v>
      </c>
      <c r="B64" s="1273"/>
      <c r="C64" s="405"/>
      <c r="D64" s="1258"/>
      <c r="E64" s="1482"/>
      <c r="F64" s="478"/>
      <c r="G64" s="1258"/>
      <c r="H64" s="1482"/>
      <c r="I64" s="1258">
        <f>SUM(I62:I63)</f>
        <v>141.62448714385266</v>
      </c>
      <c r="J64" s="1482"/>
    </row>
    <row r="65" spans="1:10" x14ac:dyDescent="0.25">
      <c r="A65" s="151"/>
      <c r="B65" s="151"/>
      <c r="C65" s="151"/>
      <c r="D65" s="151"/>
      <c r="E65" s="151"/>
      <c r="F65" s="151"/>
      <c r="G65" s="151"/>
      <c r="H65" s="151"/>
      <c r="I65" s="151"/>
      <c r="J65" s="151"/>
    </row>
    <row r="66" spans="1:10" x14ac:dyDescent="0.25">
      <c r="A66" s="183" t="s">
        <v>728</v>
      </c>
      <c r="B66" s="183"/>
      <c r="C66" s="183"/>
      <c r="D66" s="183"/>
      <c r="E66" s="183"/>
      <c r="F66" s="183"/>
      <c r="G66" s="183"/>
      <c r="H66" s="183"/>
      <c r="I66" s="183"/>
      <c r="J66" s="183"/>
    </row>
    <row r="67" spans="1:10" ht="102" x14ac:dyDescent="0.25">
      <c r="A67" s="1241" t="s">
        <v>729</v>
      </c>
      <c r="B67" s="1241"/>
      <c r="C67" s="1241"/>
      <c r="D67" s="194" t="s">
        <v>227</v>
      </c>
      <c r="E67" s="195" t="s">
        <v>228</v>
      </c>
      <c r="F67" s="471" t="s">
        <v>730</v>
      </c>
      <c r="G67" s="1395" t="s">
        <v>731</v>
      </c>
      <c r="H67" s="1395"/>
      <c r="I67" s="471" t="s">
        <v>732</v>
      </c>
      <c r="J67" s="471" t="s">
        <v>733</v>
      </c>
    </row>
    <row r="68" spans="1:10" x14ac:dyDescent="0.25">
      <c r="A68" s="1241">
        <v>1</v>
      </c>
      <c r="B68" s="1241"/>
      <c r="C68" s="1241"/>
      <c r="D68" s="194">
        <v>2</v>
      </c>
      <c r="E68" s="197">
        <v>3</v>
      </c>
      <c r="F68" s="471">
        <v>4</v>
      </c>
      <c r="G68" s="1395">
        <v>5</v>
      </c>
      <c r="H68" s="1395"/>
      <c r="I68" s="414">
        <v>6</v>
      </c>
      <c r="J68" s="414">
        <v>7</v>
      </c>
    </row>
    <row r="69" spans="1:10" x14ac:dyDescent="0.25">
      <c r="A69" s="1283" t="s">
        <v>734</v>
      </c>
      <c r="B69" s="1283"/>
      <c r="C69" s="1283"/>
      <c r="D69" s="476">
        <f>Характеристика!H44</f>
        <v>166</v>
      </c>
      <c r="E69" s="411">
        <v>20</v>
      </c>
      <c r="F69" s="411">
        <v>1.4999999999999999E-2</v>
      </c>
      <c r="G69" s="1396">
        <f>D69/100*E69*F69</f>
        <v>0.49799999999999994</v>
      </c>
      <c r="H69" s="1396"/>
      <c r="I69" s="476">
        <f>розрахунок!D23</f>
        <v>326.37</v>
      </c>
      <c r="J69" s="476">
        <f>G69*I69</f>
        <v>162.53225999999998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7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Дніпра7</v>
      </c>
      <c r="D1" s="1167" t="s">
        <v>209</v>
      </c>
      <c r="E1" s="1167"/>
      <c r="F1" s="1167"/>
      <c r="G1" s="1167"/>
    </row>
    <row r="2" spans="1:10" x14ac:dyDescent="0.25">
      <c r="D2" s="1167" t="s">
        <v>104</v>
      </c>
      <c r="E2" s="1167"/>
      <c r="F2" s="1167"/>
      <c r="G2" s="1167"/>
    </row>
    <row r="3" spans="1:10" x14ac:dyDescent="0.25">
      <c r="D3" s="1171" t="s">
        <v>629</v>
      </c>
      <c r="E3" s="1171"/>
      <c r="F3" s="1171"/>
      <c r="G3" s="1171"/>
    </row>
    <row r="4" spans="1:10" x14ac:dyDescent="0.25">
      <c r="D4" s="252"/>
      <c r="E4" s="253"/>
      <c r="F4" s="1168" t="s">
        <v>288</v>
      </c>
      <c r="G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537"/>
      <c r="I6" s="537"/>
      <c r="J6" s="537"/>
    </row>
    <row r="7" spans="1:10" x14ac:dyDescent="0.25">
      <c r="A7" s="1526" t="s">
        <v>746</v>
      </c>
      <c r="B7" s="1526"/>
      <c r="C7" s="1526"/>
      <c r="D7" s="1526"/>
      <c r="E7" s="1526"/>
      <c r="F7" s="1526"/>
      <c r="G7" s="1526"/>
    </row>
    <row r="9" spans="1:10" ht="38.25" x14ac:dyDescent="0.25">
      <c r="A9" s="487" t="s">
        <v>211</v>
      </c>
      <c r="B9" s="1164" t="s">
        <v>741</v>
      </c>
      <c r="C9" s="741"/>
      <c r="D9" s="741"/>
      <c r="E9" s="481" t="s">
        <v>213</v>
      </c>
      <c r="F9" s="487" t="s">
        <v>214</v>
      </c>
      <c r="G9" s="481" t="s">
        <v>748</v>
      </c>
    </row>
    <row r="10" spans="1:10" ht="30.6" customHeight="1" x14ac:dyDescent="0.25">
      <c r="A10" s="152">
        <v>1</v>
      </c>
      <c r="B10" s="1150" t="s">
        <v>745</v>
      </c>
      <c r="C10" s="741"/>
      <c r="D10" s="741"/>
      <c r="E10" s="582" t="s">
        <v>637</v>
      </c>
      <c r="F10" s="1558">
        <f>розрахунок!D9</f>
        <v>500</v>
      </c>
      <c r="G10" s="741"/>
    </row>
    <row r="11" spans="1:10" ht="33.6" customHeight="1" x14ac:dyDescent="0.25">
      <c r="A11" s="152">
        <v>2</v>
      </c>
      <c r="B11" s="1150" t="s">
        <v>747</v>
      </c>
      <c r="C11" s="741"/>
      <c r="D11" s="741"/>
      <c r="E11" s="582" t="s">
        <v>177</v>
      </c>
      <c r="F11" s="1559">
        <f>Характеристика!M98</f>
        <v>0.1075</v>
      </c>
      <c r="G11" s="1560"/>
    </row>
    <row r="12" spans="1:10" x14ac:dyDescent="0.25">
      <c r="A12" s="152">
        <v>5</v>
      </c>
      <c r="B12" s="1150" t="s">
        <v>495</v>
      </c>
      <c r="C12" s="741"/>
      <c r="D12" s="741"/>
      <c r="E12" s="582" t="s">
        <v>177</v>
      </c>
      <c r="F12" s="582">
        <f>G12*12</f>
        <v>145.41755661278526</v>
      </c>
      <c r="G12" s="583">
        <f>G22</f>
        <v>12.118129717732105</v>
      </c>
    </row>
    <row r="13" spans="1:10" x14ac:dyDescent="0.25">
      <c r="A13" s="152">
        <v>6</v>
      </c>
      <c r="B13" s="1557" t="s">
        <v>660</v>
      </c>
      <c r="C13" s="741"/>
      <c r="D13" s="741"/>
      <c r="E13" s="584" t="s">
        <v>177</v>
      </c>
      <c r="F13" s="584">
        <f>G13*12</f>
        <v>790.41755661278523</v>
      </c>
      <c r="G13" s="585">
        <f>F10*F11+G12</f>
        <v>65.868129717732103</v>
      </c>
    </row>
    <row r="14" spans="1:10" ht="15.75" x14ac:dyDescent="0.25">
      <c r="A14" s="152">
        <v>7</v>
      </c>
      <c r="B14" s="1552" t="s">
        <v>119</v>
      </c>
      <c r="C14" s="1553"/>
      <c r="D14" s="1553"/>
      <c r="E14" s="584" t="s">
        <v>637</v>
      </c>
      <c r="F14" s="1554">
        <f>Характеристика!N18</f>
        <v>2981.4</v>
      </c>
      <c r="G14" s="1482"/>
    </row>
    <row r="15" spans="1:10" x14ac:dyDescent="0.25">
      <c r="A15" s="152">
        <v>8</v>
      </c>
      <c r="B15" s="1181" t="s">
        <v>493</v>
      </c>
      <c r="C15" s="741"/>
      <c r="D15" s="741"/>
      <c r="E15" s="220" t="s">
        <v>177</v>
      </c>
      <c r="F15" s="1555">
        <f>G13/F14</f>
        <v>2.2093019963014725E-2</v>
      </c>
      <c r="G15" s="741"/>
    </row>
    <row r="16" spans="1:10" x14ac:dyDescent="0.25">
      <c r="A16" s="150"/>
      <c r="B16" s="543"/>
      <c r="C16" s="37"/>
      <c r="D16" s="37"/>
      <c r="E16" s="522"/>
      <c r="F16" s="522"/>
      <c r="G16" s="586"/>
    </row>
    <row r="17" spans="1:7" x14ac:dyDescent="0.25">
      <c r="A17" s="1556" t="s">
        <v>616</v>
      </c>
      <c r="B17" s="1269"/>
      <c r="C17" s="1269"/>
      <c r="D17" s="1269"/>
      <c r="E17" s="1269"/>
      <c r="F17" s="1269"/>
      <c r="G17" s="1269"/>
    </row>
    <row r="18" spans="1:7" ht="96" x14ac:dyDescent="0.25">
      <c r="A18" s="1222" t="s">
        <v>271</v>
      </c>
      <c r="B18" s="1275"/>
      <c r="C18" s="232" t="s">
        <v>272</v>
      </c>
      <c r="D18" s="232" t="s">
        <v>742</v>
      </c>
      <c r="E18" s="231" t="s">
        <v>274</v>
      </c>
      <c r="F18" s="232" t="s">
        <v>743</v>
      </c>
      <c r="G18" s="231" t="s">
        <v>744</v>
      </c>
    </row>
    <row r="19" spans="1:7" x14ac:dyDescent="0.25">
      <c r="A19" s="1222">
        <v>1</v>
      </c>
      <c r="B19" s="1275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5" customHeight="1" x14ac:dyDescent="0.25">
      <c r="A20" s="1278" t="s">
        <v>277</v>
      </c>
      <c r="B20" s="1279"/>
      <c r="C20" s="404">
        <f>прибирання!C49</f>
        <v>1845170</v>
      </c>
      <c r="D20" s="243">
        <f>прибирання!D49</f>
        <v>4483062</v>
      </c>
      <c r="E20" s="468">
        <f>C20/D20*100</f>
        <v>41.158699121270239</v>
      </c>
      <c r="F20" s="484">
        <v>0</v>
      </c>
      <c r="G20" s="243">
        <f>E20*F20/100</f>
        <v>0</v>
      </c>
    </row>
    <row r="21" spans="1:7" ht="28.15" customHeight="1" x14ac:dyDescent="0.25">
      <c r="A21" s="1278" t="s">
        <v>278</v>
      </c>
      <c r="B21" s="1279"/>
      <c r="C21" s="404">
        <f>прибирання!C50</f>
        <v>3447871</v>
      </c>
      <c r="D21" s="243">
        <f>прибирання!D50</f>
        <v>15293041.959999999</v>
      </c>
      <c r="E21" s="468">
        <f>C21/D21*100</f>
        <v>22.54535761438531</v>
      </c>
      <c r="F21" s="484">
        <f>F10*F11+G20</f>
        <v>53.75</v>
      </c>
      <c r="G21" s="243">
        <f>E21*F21/100</f>
        <v>12.118129717732105</v>
      </c>
    </row>
    <row r="22" spans="1:7" ht="28.15" customHeight="1" x14ac:dyDescent="0.25">
      <c r="A22" s="1286" t="s">
        <v>279</v>
      </c>
      <c r="B22" s="1287"/>
      <c r="C22" s="405"/>
      <c r="D22" s="406"/>
      <c r="E22" s="469"/>
      <c r="F22" s="485"/>
      <c r="G22" s="406">
        <f>SUM(G20:G21)</f>
        <v>12.118129717732105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3" workbookViewId="0">
      <selection activeCell="A6" sqref="A6:J6"/>
    </sheetView>
  </sheetViews>
  <sheetFormatPr defaultRowHeight="15" x14ac:dyDescent="0.25"/>
  <sheetData>
    <row r="1" spans="1:10" x14ac:dyDescent="0.25">
      <c r="A1" s="12" t="str">
        <f>дератизація!A1</f>
        <v>м. КанівГероїв Дніпра7</v>
      </c>
      <c r="G1" s="1167" t="s">
        <v>209</v>
      </c>
      <c r="H1" s="1167"/>
      <c r="I1" s="1167"/>
      <c r="J1" s="1167"/>
    </row>
    <row r="2" spans="1:10" x14ac:dyDescent="0.25">
      <c r="G2" s="1167" t="s">
        <v>104</v>
      </c>
      <c r="H2" s="1167"/>
      <c r="I2" s="1167"/>
      <c r="J2" s="1167"/>
    </row>
    <row r="3" spans="1:10" x14ac:dyDescent="0.25">
      <c r="G3" s="1171" t="s">
        <v>629</v>
      </c>
      <c r="H3" s="1171"/>
      <c r="I3" s="1171"/>
      <c r="J3" s="1171"/>
    </row>
    <row r="4" spans="1:10" x14ac:dyDescent="0.25">
      <c r="G4" s="252"/>
      <c r="H4" s="253"/>
      <c r="I4" s="1168" t="s">
        <v>288</v>
      </c>
      <c r="J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0" x14ac:dyDescent="0.25">
      <c r="A7" s="1526" t="s">
        <v>749</v>
      </c>
      <c r="B7" s="1526"/>
      <c r="C7" s="1526"/>
      <c r="D7" s="1526"/>
      <c r="E7" s="1526"/>
      <c r="F7" s="1526"/>
      <c r="G7" s="1526"/>
      <c r="H7" s="1526"/>
      <c r="I7" s="1526"/>
      <c r="J7" s="1526"/>
    </row>
    <row r="9" spans="1:10" ht="25.5" x14ac:dyDescent="0.25">
      <c r="A9" s="152" t="s">
        <v>211</v>
      </c>
      <c r="B9" s="1164" t="s">
        <v>212</v>
      </c>
      <c r="C9" s="1417"/>
      <c r="D9" s="1417"/>
      <c r="E9" s="1417"/>
      <c r="F9" s="1417"/>
      <c r="G9" s="1417"/>
      <c r="H9" s="487" t="s">
        <v>213</v>
      </c>
      <c r="I9" s="487" t="s">
        <v>214</v>
      </c>
      <c r="J9" s="487" t="s">
        <v>484</v>
      </c>
    </row>
    <row r="10" spans="1:10" ht="66" customHeight="1" x14ac:dyDescent="0.25">
      <c r="A10" s="152">
        <v>1</v>
      </c>
      <c r="B10" s="1150" t="s">
        <v>750</v>
      </c>
      <c r="C10" s="1151"/>
      <c r="D10" s="1151"/>
      <c r="E10" s="1151"/>
      <c r="F10" s="1151"/>
      <c r="G10" s="1151"/>
      <c r="H10" s="414" t="s">
        <v>177</v>
      </c>
      <c r="I10" s="587">
        <f>J10*12</f>
        <v>0</v>
      </c>
      <c r="J10" s="588"/>
    </row>
    <row r="11" spans="1:10" x14ac:dyDescent="0.25">
      <c r="A11" s="152">
        <v>2</v>
      </c>
      <c r="B11" s="1150" t="s">
        <v>753</v>
      </c>
      <c r="C11" s="1151"/>
      <c r="D11" s="1151"/>
      <c r="E11" s="1151"/>
      <c r="F11" s="1151"/>
      <c r="G11" s="1151"/>
      <c r="H11" s="414" t="s">
        <v>164</v>
      </c>
      <c r="I11" s="1563">
        <f>Характеристика!I12</f>
        <v>0</v>
      </c>
      <c r="J11" s="1175"/>
    </row>
    <row r="12" spans="1:10" x14ac:dyDescent="0.25">
      <c r="A12" s="152">
        <v>3</v>
      </c>
      <c r="B12" s="1150" t="s">
        <v>754</v>
      </c>
      <c r="C12" s="1151"/>
      <c r="D12" s="1151"/>
      <c r="E12" s="1151"/>
      <c r="F12" s="1151"/>
      <c r="G12" s="1151"/>
      <c r="H12" s="414" t="s">
        <v>177</v>
      </c>
      <c r="I12" s="508">
        <f>I10*I11</f>
        <v>0</v>
      </c>
      <c r="J12" s="508">
        <f>J10*I11</f>
        <v>0</v>
      </c>
    </row>
    <row r="13" spans="1:10" x14ac:dyDescent="0.25">
      <c r="A13" s="152">
        <v>5</v>
      </c>
      <c r="B13" s="1557" t="s">
        <v>660</v>
      </c>
      <c r="C13" s="1163"/>
      <c r="D13" s="1163"/>
      <c r="E13" s="1163"/>
      <c r="F13" s="1163"/>
      <c r="G13" s="1163"/>
      <c r="H13" s="152" t="s">
        <v>177</v>
      </c>
      <c r="I13" s="509">
        <f>I12</f>
        <v>0</v>
      </c>
      <c r="J13" s="509">
        <f>J12</f>
        <v>0</v>
      </c>
    </row>
    <row r="14" spans="1:10" x14ac:dyDescent="0.25">
      <c r="A14" s="152">
        <v>7</v>
      </c>
      <c r="B14" s="1150" t="s">
        <v>119</v>
      </c>
      <c r="C14" s="1151"/>
      <c r="D14" s="1151"/>
      <c r="E14" s="1151"/>
      <c r="F14" s="1151"/>
      <c r="G14" s="1151"/>
      <c r="H14" s="414" t="s">
        <v>637</v>
      </c>
      <c r="I14" s="1176">
        <f>Характеристика!N18</f>
        <v>2981.4</v>
      </c>
      <c r="J14" s="1176"/>
    </row>
    <row r="15" spans="1:10" x14ac:dyDescent="0.25">
      <c r="A15" s="152">
        <v>8</v>
      </c>
      <c r="B15" s="1265" t="s">
        <v>493</v>
      </c>
      <c r="C15" s="1561"/>
      <c r="D15" s="1561"/>
      <c r="E15" s="1561"/>
      <c r="F15" s="1412"/>
      <c r="G15" s="1413"/>
      <c r="H15" s="152" t="s">
        <v>177</v>
      </c>
      <c r="I15" s="1562">
        <f>J13/I14</f>
        <v>0</v>
      </c>
      <c r="J15" s="1562"/>
    </row>
    <row r="16" spans="1:10" x14ac:dyDescent="0.25">
      <c r="A16" s="150"/>
      <c r="B16" s="543"/>
      <c r="C16" s="183"/>
      <c r="D16" s="183"/>
      <c r="E16" s="183"/>
      <c r="F16" s="151"/>
      <c r="G16" s="151"/>
      <c r="H16" s="150"/>
      <c r="I16" s="589"/>
      <c r="J16" s="589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10" workbookViewId="0">
      <selection activeCell="O16" sqref="O16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Дніпра7</v>
      </c>
      <c r="E1" s="1167" t="s">
        <v>209</v>
      </c>
      <c r="F1" s="1167"/>
      <c r="G1" s="1167"/>
      <c r="H1" s="1167"/>
    </row>
    <row r="2" spans="1:10" x14ac:dyDescent="0.25">
      <c r="E2" s="1167" t="s">
        <v>104</v>
      </c>
      <c r="F2" s="1167"/>
      <c r="G2" s="1167"/>
      <c r="H2" s="1167"/>
    </row>
    <row r="3" spans="1:10" x14ac:dyDescent="0.25">
      <c r="E3" s="1171" t="s">
        <v>629</v>
      </c>
      <c r="F3" s="1171"/>
      <c r="G3" s="1171"/>
      <c r="H3" s="1171"/>
    </row>
    <row r="4" spans="1:10" x14ac:dyDescent="0.25">
      <c r="E4" s="252"/>
      <c r="F4" s="253"/>
      <c r="G4" s="1168" t="s">
        <v>288</v>
      </c>
      <c r="H4" s="1168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537"/>
      <c r="J6" s="537"/>
    </row>
    <row r="7" spans="1:10" x14ac:dyDescent="0.25">
      <c r="A7" s="1526" t="s">
        <v>759</v>
      </c>
      <c r="B7" s="1526"/>
      <c r="C7" s="1526"/>
      <c r="D7" s="1526"/>
      <c r="E7" s="1526"/>
      <c r="F7" s="1526"/>
      <c r="G7" s="1526"/>
      <c r="H7" s="1526"/>
    </row>
    <row r="9" spans="1:10" ht="39" x14ac:dyDescent="0.25">
      <c r="A9" s="491" t="s">
        <v>211</v>
      </c>
      <c r="B9" s="1564" t="s">
        <v>212</v>
      </c>
      <c r="C9" s="1564"/>
      <c r="D9" s="1564"/>
      <c r="E9" s="1564"/>
      <c r="F9" s="491" t="s">
        <v>213</v>
      </c>
      <c r="G9" s="491" t="s">
        <v>214</v>
      </c>
      <c r="H9" s="491" t="s">
        <v>215</v>
      </c>
    </row>
    <row r="10" spans="1:10" ht="24.6" customHeight="1" x14ac:dyDescent="0.25">
      <c r="A10" s="212">
        <v>1</v>
      </c>
      <c r="B10" s="1570" t="s">
        <v>758</v>
      </c>
      <c r="C10" s="1570"/>
      <c r="D10" s="1570"/>
      <c r="E10" s="1570"/>
      <c r="F10" s="473" t="s">
        <v>177</v>
      </c>
      <c r="G10" s="476">
        <f>H10*12</f>
        <v>0</v>
      </c>
      <c r="H10" s="476">
        <v>0</v>
      </c>
    </row>
    <row r="11" spans="1:10" ht="35.450000000000003" customHeight="1" x14ac:dyDescent="0.25">
      <c r="A11" s="212">
        <v>2</v>
      </c>
      <c r="B11" s="1418" t="s">
        <v>632</v>
      </c>
      <c r="C11" s="1418"/>
      <c r="D11" s="1418"/>
      <c r="E11" s="1418"/>
      <c r="F11" s="473" t="s">
        <v>177</v>
      </c>
      <c r="G11" s="476">
        <f>H11*12</f>
        <v>0</v>
      </c>
      <c r="H11" s="476">
        <f>H10*розрахунок!D13/100</f>
        <v>0</v>
      </c>
    </row>
    <row r="12" spans="1:10" x14ac:dyDescent="0.25">
      <c r="A12" s="212">
        <v>3</v>
      </c>
      <c r="B12" s="1418" t="s">
        <v>495</v>
      </c>
      <c r="C12" s="1418"/>
      <c r="D12" s="1418"/>
      <c r="E12" s="1418"/>
      <c r="F12" s="473" t="s">
        <v>177</v>
      </c>
      <c r="G12" s="476">
        <f>H12*12</f>
        <v>0</v>
      </c>
      <c r="H12" s="476">
        <f>H24</f>
        <v>0</v>
      </c>
    </row>
    <row r="13" spans="1:10" x14ac:dyDescent="0.25">
      <c r="A13" s="212">
        <v>4</v>
      </c>
      <c r="B13" s="1418" t="s">
        <v>481</v>
      </c>
      <c r="C13" s="1418"/>
      <c r="D13" s="1418"/>
      <c r="E13" s="1418"/>
      <c r="F13" s="473" t="s">
        <v>177</v>
      </c>
      <c r="G13" s="476">
        <f>H13*12</f>
        <v>0</v>
      </c>
      <c r="H13" s="476">
        <v>0</v>
      </c>
    </row>
    <row r="14" spans="1:10" x14ac:dyDescent="0.25">
      <c r="A14" s="212">
        <v>5</v>
      </c>
      <c r="B14" s="1418" t="s">
        <v>482</v>
      </c>
      <c r="C14" s="1418"/>
      <c r="D14" s="1418"/>
      <c r="E14" s="1418"/>
      <c r="F14" s="473" t="s">
        <v>177</v>
      </c>
      <c r="G14" s="476">
        <f>H14*12</f>
        <v>0</v>
      </c>
      <c r="H14" s="476">
        <v>0</v>
      </c>
    </row>
    <row r="15" spans="1:10" x14ac:dyDescent="0.25">
      <c r="A15" s="212">
        <v>6</v>
      </c>
      <c r="B15" s="1564" t="s">
        <v>660</v>
      </c>
      <c r="C15" s="1564"/>
      <c r="D15" s="1564"/>
      <c r="E15" s="1564"/>
      <c r="F15" s="220" t="s">
        <v>177</v>
      </c>
      <c r="G15" s="590">
        <f>SUM(G10:G14)</f>
        <v>0</v>
      </c>
      <c r="H15" s="590">
        <f>SUM(H10:H14)</f>
        <v>0</v>
      </c>
    </row>
    <row r="16" spans="1:10" ht="15.75" x14ac:dyDescent="0.25">
      <c r="A16" s="212">
        <v>7</v>
      </c>
      <c r="B16" s="1565" t="s">
        <v>119</v>
      </c>
      <c r="C16" s="1565"/>
      <c r="D16" s="1565"/>
      <c r="E16" s="1565"/>
      <c r="F16" s="473" t="s">
        <v>218</v>
      </c>
      <c r="G16" s="1566">
        <f>Характеристика!N18</f>
        <v>2981.4</v>
      </c>
      <c r="H16" s="1413"/>
    </row>
    <row r="17" spans="1:8" x14ac:dyDescent="0.25">
      <c r="A17" s="212">
        <v>8</v>
      </c>
      <c r="B17" s="1181" t="s">
        <v>493</v>
      </c>
      <c r="C17" s="1163"/>
      <c r="D17" s="1163"/>
      <c r="E17" s="1163"/>
      <c r="F17" s="220" t="s">
        <v>177</v>
      </c>
      <c r="G17" s="1567">
        <f>H15/G16</f>
        <v>0</v>
      </c>
      <c r="H17" s="1568"/>
    </row>
    <row r="18" spans="1:8" x14ac:dyDescent="0.25">
      <c r="A18" s="183"/>
      <c r="B18" s="543"/>
      <c r="C18" s="183"/>
      <c r="D18" s="183"/>
      <c r="E18" s="183"/>
      <c r="F18" s="522"/>
      <c r="G18" s="589"/>
      <c r="H18" s="589"/>
    </row>
    <row r="19" spans="1:8" x14ac:dyDescent="0.25">
      <c r="A19" s="1556" t="s">
        <v>755</v>
      </c>
      <c r="B19" s="1569"/>
      <c r="C19" s="1569"/>
      <c r="D19" s="1569"/>
      <c r="E19" s="1569"/>
      <c r="F19" s="151"/>
      <c r="G19" s="151"/>
      <c r="H19" s="151"/>
    </row>
    <row r="20" spans="1:8" ht="132" x14ac:dyDescent="0.25">
      <c r="A20" s="1222" t="s">
        <v>271</v>
      </c>
      <c r="B20" s="1275"/>
      <c r="C20" s="232" t="s">
        <v>272</v>
      </c>
      <c r="D20" s="232" t="s">
        <v>488</v>
      </c>
      <c r="E20" s="231" t="s">
        <v>274</v>
      </c>
      <c r="F20" s="1222" t="s">
        <v>756</v>
      </c>
      <c r="G20" s="1221"/>
      <c r="H20" s="231" t="s">
        <v>757</v>
      </c>
    </row>
    <row r="21" spans="1:8" x14ac:dyDescent="0.25">
      <c r="A21" s="1222">
        <v>1</v>
      </c>
      <c r="B21" s="1275"/>
      <c r="C21" s="232">
        <v>2</v>
      </c>
      <c r="D21" s="232">
        <v>3</v>
      </c>
      <c r="E21" s="232">
        <v>4</v>
      </c>
      <c r="F21" s="1222">
        <v>5</v>
      </c>
      <c r="G21" s="1221"/>
      <c r="H21" s="231">
        <v>6</v>
      </c>
    </row>
    <row r="22" spans="1:8" ht="25.9" customHeight="1" x14ac:dyDescent="0.25">
      <c r="A22" s="1278" t="s">
        <v>277</v>
      </c>
      <c r="B22" s="1279"/>
      <c r="C22" s="404">
        <f>прибирання!C49</f>
        <v>1845170</v>
      </c>
      <c r="D22" s="243">
        <f>прибирання!D49</f>
        <v>4483062</v>
      </c>
      <c r="E22" s="468">
        <f>C22/D22*100</f>
        <v>41.158699121270239</v>
      </c>
      <c r="F22" s="1280"/>
      <c r="G22" s="833"/>
      <c r="H22" s="243">
        <f>E22*F22/100</f>
        <v>0</v>
      </c>
    </row>
    <row r="23" spans="1:8" ht="30.6" customHeight="1" x14ac:dyDescent="0.25">
      <c r="A23" s="1278" t="s">
        <v>278</v>
      </c>
      <c r="B23" s="1279"/>
      <c r="C23" s="404">
        <f>прибирання!C50</f>
        <v>3447871</v>
      </c>
      <c r="D23" s="243">
        <f>прибирання!D50</f>
        <v>15293041.959999999</v>
      </c>
      <c r="E23" s="468">
        <f>C23/D23*100</f>
        <v>22.54535761438531</v>
      </c>
      <c r="F23" s="1280">
        <f>H10+H11+H13+H14+H22</f>
        <v>0</v>
      </c>
      <c r="G23" s="833"/>
      <c r="H23" s="243">
        <f>E23*F23/100</f>
        <v>0</v>
      </c>
    </row>
    <row r="24" spans="1:8" ht="22.9" customHeight="1" x14ac:dyDescent="0.25">
      <c r="A24" s="1286" t="s">
        <v>279</v>
      </c>
      <c r="B24" s="1287"/>
      <c r="C24" s="405"/>
      <c r="D24" s="406"/>
      <c r="E24" s="469"/>
      <c r="F24" s="1288"/>
      <c r="G24" s="833"/>
      <c r="H24" s="406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0" zoomScale="60" zoomScaleNormal="100" workbookViewId="0">
      <selection activeCell="C45" sqref="C45"/>
    </sheetView>
  </sheetViews>
  <sheetFormatPr defaultRowHeight="15.75" x14ac:dyDescent="0.25"/>
  <cols>
    <col min="1" max="1" width="7.5703125" style="601" customWidth="1"/>
    <col min="2" max="2" width="76.140625" style="599" customWidth="1"/>
    <col min="3" max="3" width="40.42578125" style="599" customWidth="1"/>
    <col min="4" max="4" width="3.7109375" style="599" customWidth="1"/>
    <col min="5" max="22" width="8.85546875" style="599"/>
  </cols>
  <sheetData>
    <row r="1" spans="1:22" ht="40.9" customHeight="1" x14ac:dyDescent="0.25">
      <c r="A1" s="920" t="s">
        <v>818</v>
      </c>
      <c r="B1" s="920"/>
      <c r="C1" s="920"/>
    </row>
    <row r="3" spans="1:22" s="258" customFormat="1" ht="31.5" x14ac:dyDescent="0.25">
      <c r="A3" s="606" t="s">
        <v>12</v>
      </c>
      <c r="B3" s="607" t="s">
        <v>763</v>
      </c>
      <c r="C3" s="607" t="s">
        <v>764</v>
      </c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</row>
    <row r="4" spans="1:22" s="602" customFormat="1" x14ac:dyDescent="0.25">
      <c r="A4" s="607">
        <v>1</v>
      </c>
      <c r="B4" s="607">
        <v>2</v>
      </c>
      <c r="C4" s="607">
        <v>3</v>
      </c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</row>
    <row r="5" spans="1:22" s="12" customFormat="1" x14ac:dyDescent="0.25">
      <c r="A5" s="608">
        <v>1</v>
      </c>
      <c r="B5" s="919" t="s">
        <v>765</v>
      </c>
      <c r="C5" s="919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</row>
    <row r="6" spans="1:22" x14ac:dyDescent="0.25">
      <c r="A6" s="609" t="s">
        <v>772</v>
      </c>
      <c r="B6" s="610" t="s">
        <v>766</v>
      </c>
      <c r="C6" s="611"/>
    </row>
    <row r="7" spans="1:22" x14ac:dyDescent="0.25">
      <c r="A7" s="612"/>
      <c r="B7" s="611" t="s">
        <v>819</v>
      </c>
      <c r="C7" s="611" t="s">
        <v>939</v>
      </c>
    </row>
    <row r="8" spans="1:22" x14ac:dyDescent="0.25">
      <c r="A8" s="612"/>
      <c r="B8" s="611" t="s">
        <v>768</v>
      </c>
      <c r="C8" s="611" t="s">
        <v>930</v>
      </c>
    </row>
    <row r="9" spans="1:22" x14ac:dyDescent="0.25">
      <c r="A9" s="612"/>
      <c r="B9" s="611" t="s">
        <v>600</v>
      </c>
      <c r="C9" s="611" t="s">
        <v>930</v>
      </c>
    </row>
    <row r="10" spans="1:22" x14ac:dyDescent="0.25">
      <c r="A10" s="612"/>
      <c r="B10" s="611" t="s">
        <v>769</v>
      </c>
      <c r="C10" s="611" t="s">
        <v>930</v>
      </c>
    </row>
    <row r="11" spans="1:22" x14ac:dyDescent="0.25">
      <c r="A11" s="612"/>
      <c r="B11" s="611" t="s">
        <v>607</v>
      </c>
      <c r="C11" s="611" t="s">
        <v>930</v>
      </c>
    </row>
    <row r="12" spans="1:22" x14ac:dyDescent="0.25">
      <c r="A12" s="612"/>
      <c r="B12" s="611" t="s">
        <v>770</v>
      </c>
      <c r="C12" s="611" t="s">
        <v>930</v>
      </c>
    </row>
    <row r="13" spans="1:22" x14ac:dyDescent="0.25">
      <c r="A13" s="609" t="s">
        <v>771</v>
      </c>
      <c r="B13" s="610" t="s">
        <v>773</v>
      </c>
      <c r="C13" s="611"/>
    </row>
    <row r="14" spans="1:22" ht="31.5" x14ac:dyDescent="0.25">
      <c r="A14" s="612"/>
      <c r="B14" s="613" t="s">
        <v>775</v>
      </c>
      <c r="C14" s="611" t="s">
        <v>767</v>
      </c>
    </row>
    <row r="15" spans="1:22" x14ac:dyDescent="0.25">
      <c r="A15" s="612"/>
      <c r="B15" s="611" t="s">
        <v>774</v>
      </c>
      <c r="C15" s="611" t="s">
        <v>793</v>
      </c>
    </row>
    <row r="16" spans="1:22" x14ac:dyDescent="0.25">
      <c r="A16" s="612"/>
      <c r="B16" s="611" t="s">
        <v>776</v>
      </c>
      <c r="C16" s="611" t="s">
        <v>793</v>
      </c>
    </row>
    <row r="17" spans="1:3" x14ac:dyDescent="0.25">
      <c r="A17" s="612"/>
      <c r="B17" s="611" t="s">
        <v>777</v>
      </c>
      <c r="C17" s="611" t="s">
        <v>793</v>
      </c>
    </row>
    <row r="18" spans="1:3" x14ac:dyDescent="0.25">
      <c r="A18" s="612"/>
      <c r="B18" s="611" t="s">
        <v>778</v>
      </c>
      <c r="C18" s="611" t="s">
        <v>793</v>
      </c>
    </row>
    <row r="19" spans="1:3" x14ac:dyDescent="0.25">
      <c r="A19" s="612"/>
      <c r="B19" s="611" t="s">
        <v>781</v>
      </c>
      <c r="C19" s="611" t="s">
        <v>930</v>
      </c>
    </row>
    <row r="20" spans="1:3" hidden="1" x14ac:dyDescent="0.25">
      <c r="A20" s="609" t="s">
        <v>779</v>
      </c>
      <c r="B20" s="610" t="s">
        <v>780</v>
      </c>
      <c r="C20" s="611"/>
    </row>
    <row r="21" spans="1:3" hidden="1" x14ac:dyDescent="0.25">
      <c r="A21" s="612"/>
      <c r="B21" s="611" t="s">
        <v>782</v>
      </c>
      <c r="C21" s="611" t="s">
        <v>783</v>
      </c>
    </row>
    <row r="22" spans="1:3" hidden="1" x14ac:dyDescent="0.25">
      <c r="A22" s="612"/>
      <c r="B22" s="611" t="s">
        <v>784</v>
      </c>
      <c r="C22" s="611" t="s">
        <v>785</v>
      </c>
    </row>
    <row r="23" spans="1:3" hidden="1" x14ac:dyDescent="0.25">
      <c r="A23" s="607"/>
      <c r="B23" s="611" t="s">
        <v>786</v>
      </c>
      <c r="C23" s="611" t="s">
        <v>785</v>
      </c>
    </row>
    <row r="24" spans="1:3" x14ac:dyDescent="0.25">
      <c r="A24" s="607"/>
      <c r="B24" s="611" t="s">
        <v>820</v>
      </c>
      <c r="C24" s="611" t="s">
        <v>937</v>
      </c>
    </row>
    <row r="25" spans="1:3" x14ac:dyDescent="0.25">
      <c r="A25" s="609" t="s">
        <v>787</v>
      </c>
      <c r="B25" s="610" t="s">
        <v>788</v>
      </c>
      <c r="C25" s="611"/>
    </row>
    <row r="26" spans="1:3" x14ac:dyDescent="0.25">
      <c r="A26" s="607"/>
      <c r="B26" s="611" t="s">
        <v>789</v>
      </c>
      <c r="C26" s="611" t="s">
        <v>900</v>
      </c>
    </row>
    <row r="27" spans="1:3" x14ac:dyDescent="0.25">
      <c r="A27" s="607"/>
      <c r="B27" s="611" t="s">
        <v>790</v>
      </c>
      <c r="C27" s="611" t="s">
        <v>921</v>
      </c>
    </row>
    <row r="28" spans="1:3" x14ac:dyDescent="0.25">
      <c r="A28" s="607"/>
      <c r="B28" s="611" t="s">
        <v>791</v>
      </c>
      <c r="C28" s="611" t="s">
        <v>921</v>
      </c>
    </row>
    <row r="29" spans="1:3" x14ac:dyDescent="0.25">
      <c r="A29" s="607"/>
      <c r="B29" s="611" t="s">
        <v>792</v>
      </c>
      <c r="C29" s="611" t="s">
        <v>900</v>
      </c>
    </row>
    <row r="30" spans="1:3" x14ac:dyDescent="0.25">
      <c r="A30" s="607"/>
      <c r="B30" s="611" t="s">
        <v>794</v>
      </c>
      <c r="C30" s="611" t="s">
        <v>930</v>
      </c>
    </row>
    <row r="31" spans="1:3" x14ac:dyDescent="0.25">
      <c r="A31" s="607"/>
      <c r="B31" s="611" t="s">
        <v>901</v>
      </c>
      <c r="C31" s="611" t="s">
        <v>902</v>
      </c>
    </row>
    <row r="32" spans="1:3" x14ac:dyDescent="0.25">
      <c r="A32" s="607"/>
      <c r="B32" s="611" t="s">
        <v>795</v>
      </c>
      <c r="C32" s="611" t="s">
        <v>930</v>
      </c>
    </row>
    <row r="33" spans="1:22" x14ac:dyDescent="0.25">
      <c r="A33" s="607"/>
      <c r="B33" s="611" t="s">
        <v>796</v>
      </c>
      <c r="C33" s="611" t="s">
        <v>922</v>
      </c>
    </row>
    <row r="34" spans="1:22" x14ac:dyDescent="0.25">
      <c r="A34" s="607"/>
      <c r="B34" s="611" t="s">
        <v>797</v>
      </c>
      <c r="C34" s="611" t="s">
        <v>930</v>
      </c>
    </row>
    <row r="35" spans="1:22" hidden="1" x14ac:dyDescent="0.25">
      <c r="A35" s="607"/>
      <c r="B35" s="611" t="s">
        <v>798</v>
      </c>
      <c r="C35" s="611"/>
    </row>
    <row r="36" spans="1:22" x14ac:dyDescent="0.25">
      <c r="A36" s="607"/>
      <c r="B36" s="611" t="s">
        <v>799</v>
      </c>
      <c r="C36" s="611" t="s">
        <v>793</v>
      </c>
    </row>
    <row r="37" spans="1:22" x14ac:dyDescent="0.25">
      <c r="A37" s="609" t="s">
        <v>800</v>
      </c>
      <c r="B37" s="610" t="s">
        <v>801</v>
      </c>
      <c r="C37" s="611"/>
    </row>
    <row r="38" spans="1:22" x14ac:dyDescent="0.25">
      <c r="A38" s="607"/>
      <c r="B38" s="611" t="s">
        <v>924</v>
      </c>
      <c r="C38" s="611" t="s">
        <v>900</v>
      </c>
    </row>
    <row r="39" spans="1:22" ht="47.25" x14ac:dyDescent="0.25">
      <c r="A39" s="607"/>
      <c r="B39" s="613" t="s">
        <v>923</v>
      </c>
      <c r="C39" s="611" t="s">
        <v>900</v>
      </c>
    </row>
    <row r="40" spans="1:22" ht="31.5" x14ac:dyDescent="0.25">
      <c r="A40" s="607"/>
      <c r="B40" s="613" t="s">
        <v>925</v>
      </c>
      <c r="C40" s="611" t="s">
        <v>926</v>
      </c>
    </row>
    <row r="41" spans="1:22" s="12" customFormat="1" hidden="1" x14ac:dyDescent="0.25">
      <c r="A41" s="608">
        <v>2</v>
      </c>
      <c r="B41" s="614" t="s">
        <v>0</v>
      </c>
      <c r="C41" s="614" t="s">
        <v>803</v>
      </c>
      <c r="D41" s="603"/>
      <c r="E41" s="603"/>
      <c r="F41" s="603"/>
      <c r="G41" s="603"/>
      <c r="H41" s="603"/>
      <c r="I41" s="603"/>
      <c r="J41" s="603"/>
      <c r="K41" s="603"/>
      <c r="L41" s="603"/>
      <c r="M41" s="603"/>
      <c r="N41" s="603"/>
      <c r="O41" s="603"/>
      <c r="P41" s="603"/>
      <c r="Q41" s="603"/>
      <c r="R41" s="603"/>
      <c r="S41" s="603"/>
      <c r="T41" s="603"/>
      <c r="U41" s="603"/>
      <c r="V41" s="603"/>
    </row>
    <row r="42" spans="1:22" s="12" customFormat="1" hidden="1" x14ac:dyDescent="0.25">
      <c r="A42" s="608">
        <v>3</v>
      </c>
      <c r="B42" s="614" t="s">
        <v>802</v>
      </c>
      <c r="C42" s="614" t="s">
        <v>804</v>
      </c>
      <c r="D42" s="603"/>
      <c r="E42" s="603"/>
      <c r="F42" s="603"/>
      <c r="G42" s="603"/>
      <c r="H42" s="603"/>
      <c r="I42" s="603"/>
      <c r="J42" s="603"/>
      <c r="K42" s="603"/>
      <c r="L42" s="603"/>
      <c r="M42" s="603"/>
      <c r="N42" s="603"/>
      <c r="O42" s="603"/>
      <c r="P42" s="603"/>
      <c r="Q42" s="603"/>
      <c r="R42" s="603"/>
      <c r="S42" s="603"/>
      <c r="T42" s="603"/>
      <c r="U42" s="603"/>
      <c r="V42" s="603"/>
    </row>
    <row r="43" spans="1:22" s="12" customFormat="1" x14ac:dyDescent="0.25">
      <c r="A43" s="608">
        <v>4</v>
      </c>
      <c r="B43" s="614" t="s">
        <v>927</v>
      </c>
      <c r="C43" s="611" t="s">
        <v>793</v>
      </c>
      <c r="D43" s="603"/>
      <c r="E43" s="603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  <c r="U43" s="603"/>
      <c r="V43" s="603"/>
    </row>
    <row r="44" spans="1:22" s="12" customFormat="1" ht="90.75" x14ac:dyDescent="0.25">
      <c r="A44" s="608">
        <v>5</v>
      </c>
      <c r="B44" s="615" t="s">
        <v>2</v>
      </c>
      <c r="C44" s="676" t="s">
        <v>948</v>
      </c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</row>
    <row r="45" spans="1:22" s="12" customFormat="1" ht="126" x14ac:dyDescent="0.25">
      <c r="A45" s="608">
        <v>6</v>
      </c>
      <c r="B45" s="615" t="s">
        <v>928</v>
      </c>
      <c r="C45" s="676" t="s">
        <v>949</v>
      </c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</row>
    <row r="46" spans="1:22" s="12" customFormat="1" x14ac:dyDescent="0.25">
      <c r="A46" s="608">
        <v>7</v>
      </c>
      <c r="B46" s="921" t="s">
        <v>4</v>
      </c>
      <c r="C46" s="922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</row>
    <row r="47" spans="1:22" x14ac:dyDescent="0.25">
      <c r="A47" s="607"/>
      <c r="B47" s="611" t="s">
        <v>807</v>
      </c>
      <c r="C47" s="611" t="s">
        <v>805</v>
      </c>
    </row>
    <row r="48" spans="1:22" x14ac:dyDescent="0.25">
      <c r="A48" s="607"/>
      <c r="B48" s="611" t="s">
        <v>806</v>
      </c>
      <c r="C48" s="611" t="s">
        <v>808</v>
      </c>
    </row>
    <row r="49" spans="1:22" x14ac:dyDescent="0.25">
      <c r="A49" s="607"/>
      <c r="B49" s="611" t="s">
        <v>251</v>
      </c>
      <c r="C49" s="611" t="s">
        <v>809</v>
      </c>
    </row>
    <row r="50" spans="1:22" x14ac:dyDescent="0.25">
      <c r="A50" s="607"/>
      <c r="B50" s="611" t="s">
        <v>810</v>
      </c>
      <c r="C50" s="611" t="s">
        <v>811</v>
      </c>
    </row>
    <row r="51" spans="1:22" x14ac:dyDescent="0.25">
      <c r="A51" s="607"/>
      <c r="B51" s="611" t="s">
        <v>812</v>
      </c>
      <c r="C51" s="611" t="s">
        <v>805</v>
      </c>
    </row>
    <row r="52" spans="1:22" s="605" customFormat="1" ht="18" hidden="1" customHeight="1" x14ac:dyDescent="0.25">
      <c r="A52" s="616">
        <v>8</v>
      </c>
      <c r="B52" s="923" t="s">
        <v>5</v>
      </c>
      <c r="C52" s="924"/>
      <c r="D52" s="604"/>
      <c r="E52" s="604"/>
      <c r="F52" s="604"/>
      <c r="G52" s="604"/>
      <c r="H52" s="604"/>
      <c r="I52" s="604"/>
      <c r="J52" s="604"/>
      <c r="K52" s="604"/>
      <c r="L52" s="604"/>
      <c r="M52" s="604"/>
      <c r="N52" s="604"/>
      <c r="O52" s="604"/>
      <c r="P52" s="604"/>
      <c r="Q52" s="604"/>
      <c r="R52" s="604"/>
      <c r="S52" s="604"/>
      <c r="T52" s="604"/>
      <c r="U52" s="604"/>
      <c r="V52" s="604"/>
    </row>
    <row r="53" spans="1:22" hidden="1" x14ac:dyDescent="0.25">
      <c r="A53" s="607"/>
      <c r="B53" s="611" t="s">
        <v>813</v>
      </c>
      <c r="C53" s="611"/>
    </row>
    <row r="54" spans="1:22" s="12" customFormat="1" ht="45.75" x14ac:dyDescent="0.25">
      <c r="A54" s="608">
        <v>8</v>
      </c>
      <c r="B54" s="615" t="s">
        <v>920</v>
      </c>
      <c r="C54" s="614"/>
      <c r="D54" s="603"/>
      <c r="E54" s="603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  <c r="R54" s="603"/>
      <c r="S54" s="603"/>
      <c r="T54" s="603"/>
      <c r="U54" s="603"/>
      <c r="V54" s="603"/>
    </row>
    <row r="55" spans="1:22" x14ac:dyDescent="0.25">
      <c r="A55" s="607"/>
      <c r="B55" s="611" t="s">
        <v>814</v>
      </c>
      <c r="C55" s="611" t="s">
        <v>930</v>
      </c>
    </row>
    <row r="56" spans="1:22" x14ac:dyDescent="0.25">
      <c r="A56" s="607"/>
      <c r="B56" s="611" t="s">
        <v>815</v>
      </c>
      <c r="C56" s="611" t="s">
        <v>930</v>
      </c>
    </row>
    <row r="57" spans="1:22" x14ac:dyDescent="0.25">
      <c r="A57" s="607"/>
      <c r="B57" s="611" t="s">
        <v>816</v>
      </c>
      <c r="C57" s="611" t="s">
        <v>930</v>
      </c>
    </row>
    <row r="58" spans="1:22" s="12" customFormat="1" x14ac:dyDescent="0.25">
      <c r="A58" s="608">
        <v>9</v>
      </c>
      <c r="B58" s="614" t="s">
        <v>6</v>
      </c>
      <c r="C58" s="611" t="s">
        <v>817</v>
      </c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  <c r="R58" s="603"/>
      <c r="S58" s="603"/>
      <c r="T58" s="603"/>
      <c r="U58" s="603"/>
      <c r="V58" s="603"/>
    </row>
    <row r="59" spans="1:22" s="12" customFormat="1" hidden="1" x14ac:dyDescent="0.25">
      <c r="A59" s="608">
        <v>11</v>
      </c>
      <c r="B59" s="614" t="s">
        <v>7</v>
      </c>
      <c r="C59" s="611" t="s">
        <v>817</v>
      </c>
      <c r="D59" s="603"/>
      <c r="E59" s="603"/>
      <c r="F59" s="603"/>
      <c r="G59" s="603"/>
      <c r="H59" s="603"/>
      <c r="I59" s="603"/>
      <c r="J59" s="603"/>
      <c r="K59" s="603"/>
      <c r="L59" s="603"/>
      <c r="M59" s="603"/>
      <c r="N59" s="603"/>
      <c r="O59" s="603"/>
      <c r="P59" s="603"/>
      <c r="Q59" s="603"/>
      <c r="R59" s="603"/>
      <c r="S59" s="603"/>
      <c r="T59" s="603"/>
      <c r="U59" s="603"/>
      <c r="V59" s="603"/>
    </row>
    <row r="60" spans="1:22" s="12" customFormat="1" ht="60.75" x14ac:dyDescent="0.25">
      <c r="A60" s="608">
        <v>10</v>
      </c>
      <c r="B60" s="615" t="s">
        <v>929</v>
      </c>
      <c r="C60" s="673" t="s">
        <v>804</v>
      </c>
      <c r="D60" s="603"/>
      <c r="E60" s="603"/>
      <c r="F60" s="603"/>
      <c r="G60" s="603"/>
      <c r="H60" s="603"/>
      <c r="I60" s="603"/>
      <c r="J60" s="603"/>
      <c r="K60" s="603"/>
      <c r="L60" s="603"/>
      <c r="M60" s="603"/>
      <c r="N60" s="603"/>
      <c r="O60" s="603"/>
      <c r="P60" s="603"/>
      <c r="Q60" s="603"/>
      <c r="R60" s="603"/>
      <c r="S60" s="603"/>
      <c r="T60" s="603"/>
      <c r="U60" s="603"/>
      <c r="V60" s="603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25" t="str">
        <f>[1]Калькуляция!A10</f>
        <v>№п\п</v>
      </c>
      <c r="B2" s="926"/>
      <c r="C2" s="926"/>
      <c r="D2" s="262"/>
      <c r="E2" s="262"/>
      <c r="F2" s="262" t="s">
        <v>298</v>
      </c>
      <c r="G2" s="262"/>
      <c r="H2" s="262"/>
      <c r="I2" s="262"/>
    </row>
    <row r="3" spans="1:10" x14ac:dyDescent="0.25">
      <c r="A3" s="927" t="s">
        <v>299</v>
      </c>
      <c r="B3" s="927"/>
      <c r="C3" s="928"/>
      <c r="D3" s="928"/>
      <c r="E3" s="928"/>
      <c r="F3" s="928"/>
      <c r="G3" s="928"/>
      <c r="H3" s="928"/>
      <c r="I3" s="928"/>
    </row>
    <row r="4" spans="1:10" ht="15.75" thickBot="1" x14ac:dyDescent="0.3">
      <c r="A4" s="927" t="s">
        <v>300</v>
      </c>
      <c r="B4" s="927"/>
      <c r="C4" s="928"/>
      <c r="D4" s="928"/>
      <c r="E4" s="928"/>
      <c r="F4" s="928"/>
      <c r="G4" s="928"/>
      <c r="H4" s="928"/>
      <c r="I4" s="928"/>
    </row>
    <row r="5" spans="1:10" x14ac:dyDescent="0.25">
      <c r="A5" s="263"/>
      <c r="B5" s="929" t="s">
        <v>301</v>
      </c>
      <c r="C5" s="930"/>
      <c r="D5" s="930"/>
      <c r="E5" s="931"/>
      <c r="F5" s="932" t="s">
        <v>302</v>
      </c>
      <c r="G5" s="933"/>
      <c r="H5" s="932" t="s">
        <v>217</v>
      </c>
      <c r="I5" s="933"/>
    </row>
    <row r="6" spans="1:10" ht="81" x14ac:dyDescent="0.25">
      <c r="A6" s="264"/>
      <c r="B6" s="265" t="s">
        <v>303</v>
      </c>
      <c r="C6" s="266" t="s">
        <v>304</v>
      </c>
      <c r="D6" s="266" t="s">
        <v>305</v>
      </c>
      <c r="E6" s="267" t="s">
        <v>306</v>
      </c>
      <c r="F6" s="265" t="s">
        <v>307</v>
      </c>
      <c r="G6" s="267" t="s">
        <v>308</v>
      </c>
      <c r="H6" s="265" t="s">
        <v>307</v>
      </c>
      <c r="I6" s="267" t="s">
        <v>309</v>
      </c>
    </row>
    <row r="7" spans="1:10" x14ac:dyDescent="0.25">
      <c r="A7" s="268" t="s">
        <v>310</v>
      </c>
      <c r="B7" s="269">
        <f>I33</f>
        <v>2367.7550000000001</v>
      </c>
      <c r="C7" s="270">
        <f>прибирання!E43</f>
        <v>0.36</v>
      </c>
      <c r="D7" s="271">
        <f t="shared" ref="D7:D13" si="0">B7*C7</f>
        <v>852.39179999999999</v>
      </c>
      <c r="E7" s="272">
        <f t="shared" ref="E7:E13" si="1">D7/12</f>
        <v>71.032650000000004</v>
      </c>
      <c r="F7" s="674">
        <f>H113+I113+H114+H115</f>
        <v>592.30900212000006</v>
      </c>
      <c r="G7" s="273">
        <f t="shared" ref="G7:G13" si="2">F7/12</f>
        <v>49.359083510000005</v>
      </c>
      <c r="H7" s="269">
        <f t="shared" ref="H7:I13" si="3">D7+F7</f>
        <v>1444.7008021199999</v>
      </c>
      <c r="I7" s="273">
        <f t="shared" si="3"/>
        <v>120.39173351000001</v>
      </c>
      <c r="J7" t="s">
        <v>916</v>
      </c>
    </row>
    <row r="8" spans="1:10" x14ac:dyDescent="0.25">
      <c r="A8" s="268" t="s">
        <v>311</v>
      </c>
      <c r="B8" s="274">
        <f>I33</f>
        <v>2367.7550000000001</v>
      </c>
      <c r="C8" s="275">
        <f>Сніг!E57</f>
        <v>0.03</v>
      </c>
      <c r="D8" s="46">
        <f t="shared" si="0"/>
        <v>71.032650000000004</v>
      </c>
      <c r="E8" s="276">
        <f t="shared" si="1"/>
        <v>5.9193875</v>
      </c>
      <c r="F8" s="274">
        <v>0</v>
      </c>
      <c r="G8" s="277">
        <f t="shared" si="2"/>
        <v>0</v>
      </c>
      <c r="H8" s="274">
        <f t="shared" si="3"/>
        <v>71.032650000000004</v>
      </c>
      <c r="I8" s="277">
        <f t="shared" si="3"/>
        <v>5.9193875</v>
      </c>
    </row>
    <row r="9" spans="1:10" ht="20.45" customHeight="1" x14ac:dyDescent="0.25">
      <c r="A9" s="278" t="s">
        <v>312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10" x14ac:dyDescent="0.25">
      <c r="A10" s="268" t="s">
        <v>313</v>
      </c>
      <c r="B10" s="269">
        <f>I59</f>
        <v>1391.3333333333335</v>
      </c>
      <c r="C10" s="672">
        <f>'ТО внутріньобудин'!F117</f>
        <v>5.6495504495504494E-2</v>
      </c>
      <c r="D10" s="271">
        <f t="shared" si="0"/>
        <v>78.604078588078593</v>
      </c>
      <c r="E10" s="272">
        <f t="shared" si="1"/>
        <v>6.5503398823398831</v>
      </c>
      <c r="F10" s="269">
        <f>[1]Расчет_7!G127</f>
        <v>0</v>
      </c>
      <c r="G10" s="273">
        <f t="shared" si="2"/>
        <v>0</v>
      </c>
      <c r="H10" s="269">
        <f t="shared" si="3"/>
        <v>78.604078588078593</v>
      </c>
      <c r="I10" s="273">
        <f t="shared" si="3"/>
        <v>6.5503398823398831</v>
      </c>
    </row>
    <row r="11" spans="1:10" x14ac:dyDescent="0.25">
      <c r="A11" s="268" t="s">
        <v>314</v>
      </c>
      <c r="B11" s="269">
        <f>I74</f>
        <v>1241.5366666666666</v>
      </c>
      <c r="C11" s="672">
        <f>'ТО внутріньобудин'!F118</f>
        <v>4.2654845154845154E-2</v>
      </c>
      <c r="D11" s="271">
        <f t="shared" si="0"/>
        <v>52.957554270729268</v>
      </c>
      <c r="E11" s="272">
        <f t="shared" si="1"/>
        <v>4.4131295225607721</v>
      </c>
      <c r="F11" s="269">
        <f>I190</f>
        <v>0</v>
      </c>
      <c r="G11" s="273">
        <f t="shared" si="2"/>
        <v>0</v>
      </c>
      <c r="H11" s="269">
        <f t="shared" si="3"/>
        <v>52.957554270729268</v>
      </c>
      <c r="I11" s="273">
        <f t="shared" si="3"/>
        <v>4.4131295225607721</v>
      </c>
    </row>
    <row r="12" spans="1:10" ht="15.75" thickBot="1" x14ac:dyDescent="0.3">
      <c r="A12" s="279" t="s">
        <v>315</v>
      </c>
      <c r="B12" s="280">
        <f>I79</f>
        <v>644.66666666666663</v>
      </c>
      <c r="C12" s="660">
        <f>прибирання!E44</f>
        <v>1.675384615384615E-2</v>
      </c>
      <c r="D12" s="281">
        <f t="shared" si="0"/>
        <v>10.80064615384615</v>
      </c>
      <c r="E12" s="282">
        <f t="shared" si="1"/>
        <v>0.90005384615384587</v>
      </c>
      <c r="F12" s="283">
        <v>0</v>
      </c>
      <c r="G12" s="273">
        <f t="shared" si="2"/>
        <v>0</v>
      </c>
      <c r="H12" s="269">
        <f t="shared" si="3"/>
        <v>10.80064615384615</v>
      </c>
      <c r="I12" s="273">
        <f t="shared" si="3"/>
        <v>0.90005384615384587</v>
      </c>
      <c r="J12" t="s">
        <v>916</v>
      </c>
    </row>
    <row r="13" spans="1:10" ht="15.75" thickBot="1" x14ac:dyDescent="0.3">
      <c r="A13" s="284" t="s">
        <v>198</v>
      </c>
      <c r="B13" s="270">
        <f>I88</f>
        <v>2077.1666666666665</v>
      </c>
      <c r="C13" s="675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10" ht="15.75" thickBot="1" x14ac:dyDescent="0.3">
      <c r="A14" s="936" t="s">
        <v>217</v>
      </c>
      <c r="B14" s="937"/>
      <c r="C14" s="938"/>
      <c r="D14" s="288">
        <f>SUM(D7:D12)</f>
        <v>1065.786729012654</v>
      </c>
      <c r="E14" s="289">
        <f>SUM(E7:E12)</f>
        <v>88.815560751054505</v>
      </c>
      <c r="F14" s="290">
        <f>SUM(F7:F13)</f>
        <v>592.30900212000006</v>
      </c>
      <c r="G14" s="291">
        <f>SUM(G7:G13)</f>
        <v>49.359083510000005</v>
      </c>
      <c r="H14" s="292">
        <f>SUM(H7:H13)</f>
        <v>1687.1760644659876</v>
      </c>
      <c r="I14" s="291">
        <f>SUM(I7:I13)</f>
        <v>140.59800537216563</v>
      </c>
    </row>
    <row r="15" spans="1:10" x14ac:dyDescent="0.25">
      <c r="A15" s="939" t="s">
        <v>316</v>
      </c>
      <c r="B15" s="940"/>
      <c r="C15" s="941"/>
      <c r="D15" s="293"/>
      <c r="E15" s="293"/>
      <c r="F15" s="294"/>
      <c r="G15" s="293"/>
      <c r="H15" s="294"/>
      <c r="I15" s="141"/>
    </row>
    <row r="16" spans="1:10" x14ac:dyDescent="0.25">
      <c r="A16" s="942" t="s">
        <v>317</v>
      </c>
      <c r="B16" s="943"/>
      <c r="C16" s="944"/>
      <c r="D16" s="293"/>
      <c r="E16" s="293"/>
      <c r="F16" s="294"/>
      <c r="G16" s="293"/>
      <c r="H16" s="294"/>
      <c r="I16" s="141"/>
    </row>
    <row r="17" spans="1:9" ht="15.75" thickBot="1" x14ac:dyDescent="0.3">
      <c r="A17" s="945" t="s">
        <v>318</v>
      </c>
      <c r="B17" s="945"/>
      <c r="C17" s="946"/>
      <c r="D17" s="946"/>
      <c r="E17" s="946"/>
      <c r="F17" s="946"/>
      <c r="G17" s="946"/>
      <c r="H17" s="946"/>
      <c r="I17" s="946"/>
    </row>
    <row r="18" spans="1:9" ht="68.25" thickBot="1" x14ac:dyDescent="0.3">
      <c r="A18" s="295" t="s">
        <v>319</v>
      </c>
      <c r="B18" s="947" t="s">
        <v>320</v>
      </c>
      <c r="C18" s="948"/>
      <c r="D18" s="295" t="s">
        <v>321</v>
      </c>
      <c r="E18" s="295" t="s">
        <v>322</v>
      </c>
      <c r="F18" s="295" t="s">
        <v>323</v>
      </c>
      <c r="G18" s="295" t="s">
        <v>324</v>
      </c>
      <c r="H18" s="296" t="s">
        <v>325</v>
      </c>
      <c r="I18" s="295" t="s">
        <v>326</v>
      </c>
    </row>
    <row r="19" spans="1:9" x14ac:dyDescent="0.25">
      <c r="A19" s="949" t="s">
        <v>193</v>
      </c>
      <c r="B19" s="951" t="s">
        <v>327</v>
      </c>
      <c r="C19" s="952"/>
      <c r="D19" s="297">
        <v>12</v>
      </c>
      <c r="E19" s="297" t="s">
        <v>164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25">
      <c r="A20" s="949"/>
      <c r="B20" s="934" t="s">
        <v>329</v>
      </c>
      <c r="C20" s="935"/>
      <c r="D20" s="300">
        <v>1</v>
      </c>
      <c r="E20" s="300" t="s">
        <v>164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25">
      <c r="A21" s="949"/>
      <c r="B21" s="934" t="s">
        <v>330</v>
      </c>
      <c r="C21" s="935"/>
      <c r="D21" s="300">
        <v>1</v>
      </c>
      <c r="E21" s="300" t="s">
        <v>164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25">
      <c r="A22" s="949"/>
      <c r="B22" s="934" t="s">
        <v>331</v>
      </c>
      <c r="C22" s="935"/>
      <c r="D22" s="300">
        <v>1</v>
      </c>
      <c r="E22" s="300" t="s">
        <v>164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25">
      <c r="A23" s="949"/>
      <c r="B23" s="934" t="s">
        <v>332</v>
      </c>
      <c r="C23" s="935"/>
      <c r="D23" s="300">
        <v>12</v>
      </c>
      <c r="E23" s="300" t="s">
        <v>164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25">
      <c r="A24" s="949"/>
      <c r="B24" s="934" t="s">
        <v>475</v>
      </c>
      <c r="C24" s="935"/>
      <c r="D24" s="301">
        <v>1</v>
      </c>
      <c r="E24" s="300" t="s">
        <v>164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25">
      <c r="A25" s="949"/>
      <c r="B25" s="934" t="s">
        <v>760</v>
      </c>
      <c r="C25" s="935"/>
      <c r="D25" s="300">
        <v>1</v>
      </c>
      <c r="E25" s="300" t="s">
        <v>334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25">
      <c r="A26" s="949"/>
      <c r="B26" s="934" t="s">
        <v>335</v>
      </c>
      <c r="C26" s="935"/>
      <c r="D26" s="300">
        <v>1</v>
      </c>
      <c r="E26" s="300" t="s">
        <v>334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25">
      <c r="A27" s="949"/>
      <c r="B27" s="934" t="s">
        <v>336</v>
      </c>
      <c r="C27" s="935"/>
      <c r="D27" s="300">
        <v>1</v>
      </c>
      <c r="E27" s="300" t="s">
        <v>164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25">
      <c r="A28" s="949"/>
      <c r="B28" s="934" t="s">
        <v>476</v>
      </c>
      <c r="C28" s="935"/>
      <c r="D28" s="300">
        <v>1</v>
      </c>
      <c r="E28" s="300" t="s">
        <v>334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25">
      <c r="A29" s="949"/>
      <c r="B29" s="934" t="s">
        <v>337</v>
      </c>
      <c r="C29" s="935"/>
      <c r="D29" s="300">
        <v>1</v>
      </c>
      <c r="E29" s="300" t="s">
        <v>164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25">
      <c r="A30" s="949"/>
      <c r="B30" s="934" t="s">
        <v>338</v>
      </c>
      <c r="C30" s="935"/>
      <c r="D30" s="300">
        <v>1</v>
      </c>
      <c r="E30" s="300" t="s">
        <v>164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25">
      <c r="A31" s="949"/>
      <c r="B31" s="934" t="s">
        <v>477</v>
      </c>
      <c r="C31" s="935"/>
      <c r="D31" s="367">
        <v>1</v>
      </c>
      <c r="E31" s="367" t="s">
        <v>164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.75" thickBot="1" x14ac:dyDescent="0.3">
      <c r="A32" s="949"/>
      <c r="B32" s="953" t="s">
        <v>339</v>
      </c>
      <c r="C32" s="954"/>
      <c r="D32" s="304">
        <v>1</v>
      </c>
      <c r="E32" s="304" t="s">
        <v>164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.75" thickBot="1" x14ac:dyDescent="0.3">
      <c r="A33" s="950"/>
      <c r="B33" s="955" t="s">
        <v>340</v>
      </c>
      <c r="C33" s="956"/>
      <c r="D33" s="956"/>
      <c r="E33" s="956"/>
      <c r="F33" s="956"/>
      <c r="G33" s="956"/>
      <c r="H33" s="957"/>
      <c r="I33" s="308">
        <f>SUM(I19:I32)</f>
        <v>2367.7550000000001</v>
      </c>
    </row>
    <row r="34" spans="1:9" x14ac:dyDescent="0.25">
      <c r="A34" s="958" t="s">
        <v>341</v>
      </c>
      <c r="B34" s="951" t="s">
        <v>330</v>
      </c>
      <c r="C34" s="952"/>
      <c r="D34" s="297">
        <v>1</v>
      </c>
      <c r="E34" s="297" t="s">
        <v>164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25">
      <c r="A35" s="949"/>
      <c r="B35" s="934" t="s">
        <v>342</v>
      </c>
      <c r="C35" s="935"/>
      <c r="D35" s="300">
        <v>1</v>
      </c>
      <c r="E35" s="300" t="s">
        <v>164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25">
      <c r="A36" s="949"/>
      <c r="B36" s="934" t="s">
        <v>328</v>
      </c>
      <c r="C36" s="935"/>
      <c r="D36" s="300">
        <v>1</v>
      </c>
      <c r="E36" s="300" t="s">
        <v>164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.75" thickBot="1" x14ac:dyDescent="0.3">
      <c r="A37" s="949"/>
      <c r="B37" s="953" t="s">
        <v>327</v>
      </c>
      <c r="C37" s="954"/>
      <c r="D37" s="304">
        <v>1</v>
      </c>
      <c r="E37" s="304" t="s">
        <v>164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25">
      <c r="A38" s="949"/>
      <c r="B38" s="951" t="s">
        <v>343</v>
      </c>
      <c r="C38" s="952"/>
      <c r="D38" s="297">
        <v>1</v>
      </c>
      <c r="E38" s="297" t="s">
        <v>164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25">
      <c r="A39" s="949"/>
      <c r="B39" s="934" t="s">
        <v>344</v>
      </c>
      <c r="C39" s="935"/>
      <c r="D39" s="301">
        <v>1</v>
      </c>
      <c r="E39" s="301" t="s">
        <v>164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.75" thickBot="1" x14ac:dyDescent="0.3">
      <c r="A40" s="949"/>
      <c r="B40" s="953" t="s">
        <v>335</v>
      </c>
      <c r="C40" s="954"/>
      <c r="D40" s="304">
        <v>1</v>
      </c>
      <c r="E40" s="304" t="s">
        <v>164</v>
      </c>
      <c r="F40" s="305">
        <v>13</v>
      </c>
      <c r="G40" s="304">
        <v>4</v>
      </c>
      <c r="H40" s="305">
        <f t="shared" si="6"/>
        <v>3</v>
      </c>
      <c r="I40" s="594">
        <f t="shared" si="7"/>
        <v>39</v>
      </c>
    </row>
    <row r="41" spans="1:9" ht="15.75" thickBot="1" x14ac:dyDescent="0.3">
      <c r="A41" s="950"/>
      <c r="B41" s="959" t="s">
        <v>340</v>
      </c>
      <c r="C41" s="960"/>
      <c r="D41" s="960"/>
      <c r="E41" s="960"/>
      <c r="F41" s="960"/>
      <c r="G41" s="960"/>
      <c r="H41" s="961"/>
      <c r="I41" s="595">
        <f>SUM(I34:I40)</f>
        <v>560.64</v>
      </c>
    </row>
    <row r="42" spans="1:9" ht="68.25" thickBot="1" x14ac:dyDescent="0.3">
      <c r="A42" s="295" t="s">
        <v>319</v>
      </c>
      <c r="B42" s="947" t="s">
        <v>320</v>
      </c>
      <c r="C42" s="962"/>
      <c r="D42" s="295" t="s">
        <v>321</v>
      </c>
      <c r="E42" s="295" t="s">
        <v>322</v>
      </c>
      <c r="F42" s="295" t="s">
        <v>323</v>
      </c>
      <c r="G42" s="295" t="s">
        <v>324</v>
      </c>
      <c r="H42" s="296" t="s">
        <v>325</v>
      </c>
      <c r="I42" s="295" t="s">
        <v>326</v>
      </c>
    </row>
    <row r="43" spans="1:9" x14ac:dyDescent="0.25">
      <c r="A43" s="963" t="s">
        <v>196</v>
      </c>
      <c r="B43" s="951" t="s">
        <v>345</v>
      </c>
      <c r="C43" s="952"/>
      <c r="D43" s="297">
        <v>1</v>
      </c>
      <c r="E43" s="297" t="s">
        <v>164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25">
      <c r="A44" s="964"/>
      <c r="B44" s="934" t="s">
        <v>346</v>
      </c>
      <c r="C44" s="935"/>
      <c r="D44" s="300">
        <v>1</v>
      </c>
      <c r="E44" s="300" t="s">
        <v>164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25">
      <c r="A45" s="964"/>
      <c r="B45" s="934" t="s">
        <v>347</v>
      </c>
      <c r="C45" s="935"/>
      <c r="D45" s="300">
        <v>1</v>
      </c>
      <c r="E45" s="300" t="s">
        <v>164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25">
      <c r="A46" s="964"/>
      <c r="B46" s="966" t="s">
        <v>348</v>
      </c>
      <c r="C46" s="967"/>
      <c r="D46" s="300">
        <v>1</v>
      </c>
      <c r="E46" s="300" t="s">
        <v>164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25">
      <c r="A47" s="964"/>
      <c r="B47" s="934" t="s">
        <v>349</v>
      </c>
      <c r="C47" s="935"/>
      <c r="D47" s="300">
        <v>1</v>
      </c>
      <c r="E47" s="300" t="s">
        <v>164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25">
      <c r="A48" s="964"/>
      <c r="B48" s="934" t="s">
        <v>350</v>
      </c>
      <c r="C48" s="935"/>
      <c r="D48" s="300">
        <v>1</v>
      </c>
      <c r="E48" s="300" t="s">
        <v>164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25">
      <c r="A49" s="964"/>
      <c r="B49" s="934" t="s">
        <v>351</v>
      </c>
      <c r="C49" s="935"/>
      <c r="D49" s="300">
        <v>1</v>
      </c>
      <c r="E49" s="300" t="s">
        <v>164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25">
      <c r="A50" s="964"/>
      <c r="B50" s="934" t="s">
        <v>352</v>
      </c>
      <c r="C50" s="935"/>
      <c r="D50" s="300">
        <v>1</v>
      </c>
      <c r="E50" s="300" t="s">
        <v>164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.75" thickBot="1" x14ac:dyDescent="0.3">
      <c r="A51" s="964"/>
      <c r="B51" s="953" t="s">
        <v>353</v>
      </c>
      <c r="C51" s="954"/>
      <c r="D51" s="304">
        <v>1</v>
      </c>
      <c r="E51" s="304" t="s">
        <v>164</v>
      </c>
      <c r="F51" s="305">
        <v>65</v>
      </c>
      <c r="G51" s="304">
        <v>36</v>
      </c>
      <c r="H51" s="305">
        <f t="shared" si="8"/>
        <v>0.33333333333333331</v>
      </c>
      <c r="I51" s="594">
        <f t="shared" si="9"/>
        <v>21.666666666666664</v>
      </c>
    </row>
    <row r="52" spans="1:9" x14ac:dyDescent="0.25">
      <c r="A52" s="964"/>
      <c r="B52" s="951" t="s">
        <v>354</v>
      </c>
      <c r="C52" s="952"/>
      <c r="D52" s="301">
        <v>1</v>
      </c>
      <c r="E52" s="301" t="s">
        <v>164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25">
      <c r="A53" s="964"/>
      <c r="B53" s="934" t="s">
        <v>344</v>
      </c>
      <c r="C53" s="935"/>
      <c r="D53" s="300">
        <v>1</v>
      </c>
      <c r="E53" s="300" t="s">
        <v>334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25">
      <c r="A54" s="964"/>
      <c r="B54" s="934" t="s">
        <v>333</v>
      </c>
      <c r="C54" s="935"/>
      <c r="D54" s="300">
        <v>1</v>
      </c>
      <c r="E54" s="300" t="s">
        <v>334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25">
      <c r="A55" s="964"/>
      <c r="B55" s="934" t="s">
        <v>355</v>
      </c>
      <c r="C55" s="935"/>
      <c r="D55" s="300">
        <v>1</v>
      </c>
      <c r="E55" s="300" t="s">
        <v>164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25">
      <c r="A56" s="964"/>
      <c r="B56" s="934" t="s">
        <v>356</v>
      </c>
      <c r="C56" s="935"/>
      <c r="D56" s="300">
        <v>1</v>
      </c>
      <c r="E56" s="300" t="s">
        <v>334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25">
      <c r="A57" s="964"/>
      <c r="B57" s="934" t="s">
        <v>357</v>
      </c>
      <c r="C57" s="935"/>
      <c r="D57" s="300">
        <v>1</v>
      </c>
      <c r="E57" s="300" t="s">
        <v>164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.75" thickBot="1" x14ac:dyDescent="0.3">
      <c r="A58" s="964"/>
      <c r="B58" s="968" t="s">
        <v>358</v>
      </c>
      <c r="C58" s="969"/>
      <c r="D58" s="369">
        <v>1</v>
      </c>
      <c r="E58" s="369" t="s">
        <v>164</v>
      </c>
      <c r="F58" s="596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.75" thickBot="1" x14ac:dyDescent="0.3">
      <c r="A59" s="965"/>
      <c r="B59" s="959" t="s">
        <v>340</v>
      </c>
      <c r="C59" s="960"/>
      <c r="D59" s="960"/>
      <c r="E59" s="960"/>
      <c r="F59" s="960"/>
      <c r="G59" s="960"/>
      <c r="H59" s="961"/>
      <c r="I59" s="597">
        <f>SUM(I43:I58)</f>
        <v>1391.3333333333335</v>
      </c>
    </row>
    <row r="60" spans="1:9" x14ac:dyDescent="0.25">
      <c r="A60" s="958" t="s">
        <v>314</v>
      </c>
      <c r="B60" s="982" t="s">
        <v>359</v>
      </c>
      <c r="C60" s="983"/>
      <c r="D60" s="639">
        <v>1</v>
      </c>
      <c r="E60" s="639" t="s">
        <v>164</v>
      </c>
      <c r="F60" s="640">
        <v>45.61</v>
      </c>
      <c r="G60" s="639">
        <v>36</v>
      </c>
      <c r="H60" s="640">
        <f t="shared" ref="H60:H73" si="10">12/G60*D60</f>
        <v>0.33333333333333331</v>
      </c>
      <c r="I60" s="641">
        <f t="shared" ref="I60:I73" si="11">F60*H60</f>
        <v>15.203333333333333</v>
      </c>
    </row>
    <row r="61" spans="1:9" x14ac:dyDescent="0.25">
      <c r="A61" s="949"/>
      <c r="B61" s="977" t="s">
        <v>360</v>
      </c>
      <c r="C61" s="978"/>
      <c r="D61" s="642">
        <v>1</v>
      </c>
      <c r="E61" s="642" t="s">
        <v>164</v>
      </c>
      <c r="F61" s="643">
        <v>185</v>
      </c>
      <c r="G61" s="642">
        <v>36</v>
      </c>
      <c r="H61" s="643">
        <f t="shared" si="10"/>
        <v>0.33333333333333331</v>
      </c>
      <c r="I61" s="644">
        <f t="shared" si="11"/>
        <v>61.666666666666664</v>
      </c>
    </row>
    <row r="62" spans="1:9" x14ac:dyDescent="0.25">
      <c r="A62" s="949"/>
      <c r="B62" s="977" t="s">
        <v>361</v>
      </c>
      <c r="C62" s="978"/>
      <c r="D62" s="642">
        <v>1</v>
      </c>
      <c r="E62" s="642" t="s">
        <v>164</v>
      </c>
      <c r="F62" s="643">
        <v>89</v>
      </c>
      <c r="G62" s="642">
        <v>36</v>
      </c>
      <c r="H62" s="643">
        <f t="shared" si="10"/>
        <v>0.33333333333333331</v>
      </c>
      <c r="I62" s="644">
        <f t="shared" si="11"/>
        <v>29.666666666666664</v>
      </c>
    </row>
    <row r="63" spans="1:9" x14ac:dyDescent="0.25">
      <c r="A63" s="949"/>
      <c r="B63" s="977" t="s">
        <v>362</v>
      </c>
      <c r="C63" s="978"/>
      <c r="D63" s="642">
        <v>1</v>
      </c>
      <c r="E63" s="642" t="s">
        <v>164</v>
      </c>
      <c r="F63" s="643">
        <v>50</v>
      </c>
      <c r="G63" s="642">
        <v>36</v>
      </c>
      <c r="H63" s="643">
        <f t="shared" si="10"/>
        <v>0.33333333333333331</v>
      </c>
      <c r="I63" s="644">
        <f t="shared" si="11"/>
        <v>16.666666666666664</v>
      </c>
    </row>
    <row r="64" spans="1:9" x14ac:dyDescent="0.25">
      <c r="A64" s="949"/>
      <c r="B64" s="977" t="s">
        <v>363</v>
      </c>
      <c r="C64" s="978"/>
      <c r="D64" s="642">
        <v>1</v>
      </c>
      <c r="E64" s="642" t="s">
        <v>164</v>
      </c>
      <c r="F64" s="643">
        <v>120</v>
      </c>
      <c r="G64" s="642">
        <v>36</v>
      </c>
      <c r="H64" s="643">
        <f t="shared" si="10"/>
        <v>0.33333333333333331</v>
      </c>
      <c r="I64" s="644">
        <f t="shared" si="11"/>
        <v>40</v>
      </c>
    </row>
    <row r="65" spans="1:9" ht="15.75" thickBot="1" x14ac:dyDescent="0.3">
      <c r="A65" s="949"/>
      <c r="B65" s="977" t="s">
        <v>364</v>
      </c>
      <c r="C65" s="978"/>
      <c r="D65" s="642">
        <v>1</v>
      </c>
      <c r="E65" s="642" t="s">
        <v>164</v>
      </c>
      <c r="F65" s="643">
        <v>180</v>
      </c>
      <c r="G65" s="642">
        <v>36</v>
      </c>
      <c r="H65" s="643">
        <f t="shared" si="10"/>
        <v>0.33333333333333331</v>
      </c>
      <c r="I65" s="644">
        <f t="shared" si="11"/>
        <v>60</v>
      </c>
    </row>
    <row r="66" spans="1:9" x14ac:dyDescent="0.25">
      <c r="A66" s="949"/>
      <c r="B66" s="982" t="s">
        <v>354</v>
      </c>
      <c r="C66" s="983"/>
      <c r="D66" s="645">
        <v>1</v>
      </c>
      <c r="E66" s="645" t="s">
        <v>164</v>
      </c>
      <c r="F66" s="646">
        <v>410</v>
      </c>
      <c r="G66" s="645">
        <v>12</v>
      </c>
      <c r="H66" s="646">
        <f t="shared" si="10"/>
        <v>1</v>
      </c>
      <c r="I66" s="644">
        <f t="shared" si="11"/>
        <v>410</v>
      </c>
    </row>
    <row r="67" spans="1:9" x14ac:dyDescent="0.25">
      <c r="A67" s="949"/>
      <c r="B67" s="977" t="s">
        <v>344</v>
      </c>
      <c r="C67" s="978"/>
      <c r="D67" s="642">
        <v>1</v>
      </c>
      <c r="E67" s="642" t="s">
        <v>334</v>
      </c>
      <c r="F67" s="643">
        <v>160</v>
      </c>
      <c r="G67" s="642">
        <v>12</v>
      </c>
      <c r="H67" s="643">
        <f t="shared" si="10"/>
        <v>1</v>
      </c>
      <c r="I67" s="644">
        <f t="shared" si="11"/>
        <v>160</v>
      </c>
    </row>
    <row r="68" spans="1:9" x14ac:dyDescent="0.25">
      <c r="A68" s="949"/>
      <c r="B68" s="977" t="s">
        <v>365</v>
      </c>
      <c r="C68" s="978"/>
      <c r="D68" s="642">
        <v>1</v>
      </c>
      <c r="E68" s="642" t="s">
        <v>164</v>
      </c>
      <c r="F68" s="643">
        <v>30</v>
      </c>
      <c r="G68" s="642">
        <v>12</v>
      </c>
      <c r="H68" s="643">
        <f t="shared" si="10"/>
        <v>1</v>
      </c>
      <c r="I68" s="644">
        <f t="shared" si="11"/>
        <v>30</v>
      </c>
    </row>
    <row r="69" spans="1:9" x14ac:dyDescent="0.25">
      <c r="A69" s="949"/>
      <c r="B69" s="977" t="s">
        <v>333</v>
      </c>
      <c r="C69" s="978"/>
      <c r="D69" s="642">
        <v>1</v>
      </c>
      <c r="E69" s="642" t="s">
        <v>334</v>
      </c>
      <c r="F69" s="643">
        <v>12</v>
      </c>
      <c r="G69" s="642">
        <v>2</v>
      </c>
      <c r="H69" s="643">
        <f t="shared" si="10"/>
        <v>6</v>
      </c>
      <c r="I69" s="644">
        <f t="shared" si="11"/>
        <v>72</v>
      </c>
    </row>
    <row r="70" spans="1:9" x14ac:dyDescent="0.25">
      <c r="A70" s="949"/>
      <c r="B70" s="934" t="s">
        <v>357</v>
      </c>
      <c r="C70" s="935"/>
      <c r="D70" s="300">
        <v>1</v>
      </c>
      <c r="E70" s="300" t="s">
        <v>164</v>
      </c>
      <c r="F70" s="275">
        <v>320</v>
      </c>
      <c r="G70" s="300">
        <v>36</v>
      </c>
      <c r="H70" s="643">
        <f>12/G70*D70</f>
        <v>0.33333333333333331</v>
      </c>
      <c r="I70" s="644">
        <f>F70*H70</f>
        <v>106.66666666666666</v>
      </c>
    </row>
    <row r="71" spans="1:9" x14ac:dyDescent="0.25">
      <c r="A71" s="949"/>
      <c r="B71" s="968" t="s">
        <v>358</v>
      </c>
      <c r="C71" s="969"/>
      <c r="D71" s="369">
        <v>1</v>
      </c>
      <c r="E71" s="369" t="s">
        <v>164</v>
      </c>
      <c r="F71" s="596">
        <v>279</v>
      </c>
      <c r="G71" s="369">
        <v>36</v>
      </c>
      <c r="H71" s="643">
        <f>12/G71*D71</f>
        <v>0.33333333333333331</v>
      </c>
      <c r="I71" s="644">
        <f>F71*H71</f>
        <v>93</v>
      </c>
    </row>
    <row r="72" spans="1:9" x14ac:dyDescent="0.25">
      <c r="A72" s="949"/>
      <c r="B72" s="977" t="s">
        <v>366</v>
      </c>
      <c r="C72" s="978"/>
      <c r="D72" s="642">
        <v>1</v>
      </c>
      <c r="E72" s="642" t="s">
        <v>334</v>
      </c>
      <c r="F72" s="643">
        <v>120</v>
      </c>
      <c r="G72" s="642">
        <v>36</v>
      </c>
      <c r="H72" s="643">
        <f t="shared" si="10"/>
        <v>0.33333333333333331</v>
      </c>
      <c r="I72" s="644">
        <f t="shared" si="11"/>
        <v>40</v>
      </c>
    </row>
    <row r="73" spans="1:9" ht="15.75" thickBot="1" x14ac:dyDescent="0.3">
      <c r="A73" s="949"/>
      <c r="B73" s="979" t="s">
        <v>367</v>
      </c>
      <c r="C73" s="980"/>
      <c r="D73" s="647">
        <v>1</v>
      </c>
      <c r="E73" s="647" t="s">
        <v>334</v>
      </c>
      <c r="F73" s="648">
        <v>320</v>
      </c>
      <c r="G73" s="647">
        <v>36</v>
      </c>
      <c r="H73" s="648">
        <f t="shared" si="10"/>
        <v>0.33333333333333331</v>
      </c>
      <c r="I73" s="644">
        <f t="shared" si="11"/>
        <v>106.66666666666666</v>
      </c>
    </row>
    <row r="74" spans="1:9" ht="15.75" thickBot="1" x14ac:dyDescent="0.3">
      <c r="A74" s="981"/>
      <c r="B74" s="984" t="s">
        <v>340</v>
      </c>
      <c r="C74" s="960"/>
      <c r="D74" s="960"/>
      <c r="E74" s="960"/>
      <c r="F74" s="960"/>
      <c r="G74" s="960"/>
      <c r="H74" s="961"/>
      <c r="I74" s="649">
        <f>SUM(I60:I73)</f>
        <v>1241.5366666666666</v>
      </c>
    </row>
    <row r="75" spans="1:9" x14ac:dyDescent="0.25">
      <c r="A75" s="970" t="s">
        <v>315</v>
      </c>
      <c r="B75" s="971" t="s">
        <v>333</v>
      </c>
      <c r="C75" s="972"/>
      <c r="D75" s="651">
        <v>1</v>
      </c>
      <c r="E75" s="393" t="s">
        <v>334</v>
      </c>
      <c r="F75" s="652">
        <v>12</v>
      </c>
      <c r="G75" s="651">
        <v>3</v>
      </c>
      <c r="H75" s="652">
        <f>12/G75*D75</f>
        <v>4</v>
      </c>
      <c r="I75" s="276">
        <f>F75*H75</f>
        <v>48</v>
      </c>
    </row>
    <row r="76" spans="1:9" x14ac:dyDescent="0.25">
      <c r="A76" s="970"/>
      <c r="B76" s="971" t="s">
        <v>354</v>
      </c>
      <c r="C76" s="972"/>
      <c r="D76" s="651">
        <v>1</v>
      </c>
      <c r="E76" s="393" t="s">
        <v>164</v>
      </c>
      <c r="F76" s="652">
        <v>410</v>
      </c>
      <c r="G76" s="651">
        <v>12</v>
      </c>
      <c r="H76" s="652">
        <f>12/G76*D76</f>
        <v>1</v>
      </c>
      <c r="I76" s="276">
        <f>F76*H76</f>
        <v>410</v>
      </c>
    </row>
    <row r="77" spans="1:9" x14ac:dyDescent="0.25">
      <c r="A77" s="970"/>
      <c r="B77" s="971" t="s">
        <v>344</v>
      </c>
      <c r="C77" s="972"/>
      <c r="D77" s="651">
        <v>1</v>
      </c>
      <c r="E77" s="393" t="s">
        <v>334</v>
      </c>
      <c r="F77" s="652">
        <v>160</v>
      </c>
      <c r="G77" s="651">
        <v>24</v>
      </c>
      <c r="H77" s="652">
        <f>12/G77*D77</f>
        <v>0.5</v>
      </c>
      <c r="I77" s="276">
        <f>F77*H77</f>
        <v>80</v>
      </c>
    </row>
    <row r="78" spans="1:9" ht="15.75" thickBot="1" x14ac:dyDescent="0.3">
      <c r="A78" s="970"/>
      <c r="B78" s="973" t="s">
        <v>368</v>
      </c>
      <c r="C78" s="974"/>
      <c r="D78" s="655">
        <v>1</v>
      </c>
      <c r="E78" s="656" t="s">
        <v>164</v>
      </c>
      <c r="F78" s="657">
        <v>320</v>
      </c>
      <c r="G78" s="655">
        <v>36</v>
      </c>
      <c r="H78" s="657">
        <f>12/G78*D78</f>
        <v>0.33333333333333331</v>
      </c>
      <c r="I78" s="658">
        <f>F78*H78</f>
        <v>106.66666666666666</v>
      </c>
    </row>
    <row r="79" spans="1:9" ht="15.75" thickBot="1" x14ac:dyDescent="0.3">
      <c r="A79" s="970"/>
      <c r="B79" s="939" t="s">
        <v>340</v>
      </c>
      <c r="C79" s="975"/>
      <c r="D79" s="975"/>
      <c r="E79" s="975"/>
      <c r="F79" s="975"/>
      <c r="G79" s="975"/>
      <c r="H79" s="976"/>
      <c r="I79" s="659">
        <f>SUM(I75:I78)</f>
        <v>644.66666666666663</v>
      </c>
    </row>
    <row r="80" spans="1:9" x14ac:dyDescent="0.25">
      <c r="A80" s="1012" t="s">
        <v>198</v>
      </c>
      <c r="B80" s="1015" t="s">
        <v>354</v>
      </c>
      <c r="C80" s="1015"/>
      <c r="D80" s="639">
        <v>1</v>
      </c>
      <c r="E80" s="639" t="s">
        <v>164</v>
      </c>
      <c r="F80" s="640">
        <v>410</v>
      </c>
      <c r="G80" s="639">
        <v>12</v>
      </c>
      <c r="H80" s="640">
        <f t="shared" ref="H80:H85" si="12">12/G80*D80</f>
        <v>1</v>
      </c>
      <c r="I80" s="641">
        <f t="shared" ref="I80:I85" si="13">F80*H80</f>
        <v>410</v>
      </c>
    </row>
    <row r="81" spans="1:9" x14ac:dyDescent="0.25">
      <c r="A81" s="1013"/>
      <c r="B81" s="1016" t="s">
        <v>344</v>
      </c>
      <c r="C81" s="1016"/>
      <c r="D81" s="642">
        <v>1</v>
      </c>
      <c r="E81" s="642" t="s">
        <v>334</v>
      </c>
      <c r="F81" s="643">
        <v>160</v>
      </c>
      <c r="G81" s="642">
        <v>12</v>
      </c>
      <c r="H81" s="643">
        <f t="shared" si="12"/>
        <v>1</v>
      </c>
      <c r="I81" s="650">
        <f t="shared" si="13"/>
        <v>160</v>
      </c>
    </row>
    <row r="82" spans="1:9" x14ac:dyDescent="0.25">
      <c r="A82" s="1013"/>
      <c r="B82" s="1016" t="s">
        <v>333</v>
      </c>
      <c r="C82" s="1016"/>
      <c r="D82" s="642">
        <v>1</v>
      </c>
      <c r="E82" s="642" t="s">
        <v>334</v>
      </c>
      <c r="F82" s="643">
        <v>12</v>
      </c>
      <c r="G82" s="642">
        <v>2</v>
      </c>
      <c r="H82" s="643">
        <f t="shared" si="12"/>
        <v>6</v>
      </c>
      <c r="I82" s="650">
        <f t="shared" si="13"/>
        <v>72</v>
      </c>
    </row>
    <row r="83" spans="1:9" x14ac:dyDescent="0.25">
      <c r="A83" s="1013"/>
      <c r="B83" s="1017" t="s">
        <v>357</v>
      </c>
      <c r="C83" s="1017"/>
      <c r="D83" s="300">
        <v>1</v>
      </c>
      <c r="E83" s="300" t="s">
        <v>164</v>
      </c>
      <c r="F83" s="275">
        <v>320</v>
      </c>
      <c r="G83" s="300">
        <v>36</v>
      </c>
      <c r="H83" s="643">
        <f t="shared" si="12"/>
        <v>0.33333333333333331</v>
      </c>
      <c r="I83" s="650">
        <f t="shared" si="13"/>
        <v>106.66666666666666</v>
      </c>
    </row>
    <row r="84" spans="1:9" x14ac:dyDescent="0.25">
      <c r="A84" s="1013"/>
      <c r="B84" s="1017" t="s">
        <v>358</v>
      </c>
      <c r="C84" s="1017"/>
      <c r="D84" s="300">
        <v>1</v>
      </c>
      <c r="E84" s="300" t="s">
        <v>164</v>
      </c>
      <c r="F84" s="275">
        <v>279</v>
      </c>
      <c r="G84" s="300">
        <v>36</v>
      </c>
      <c r="H84" s="643">
        <f t="shared" si="12"/>
        <v>0.33333333333333331</v>
      </c>
      <c r="I84" s="650">
        <f t="shared" si="13"/>
        <v>93</v>
      </c>
    </row>
    <row r="85" spans="1:9" x14ac:dyDescent="0.25">
      <c r="A85" s="1013"/>
      <c r="B85" s="1016" t="s">
        <v>369</v>
      </c>
      <c r="C85" s="1016"/>
      <c r="D85" s="651">
        <v>1</v>
      </c>
      <c r="E85" s="300" t="s">
        <v>164</v>
      </c>
      <c r="F85" s="652">
        <v>76</v>
      </c>
      <c r="G85" s="651">
        <v>24</v>
      </c>
      <c r="H85" s="643">
        <f t="shared" si="12"/>
        <v>0.5</v>
      </c>
      <c r="I85" s="650">
        <f t="shared" si="13"/>
        <v>38</v>
      </c>
    </row>
    <row r="86" spans="1:9" x14ac:dyDescent="0.25">
      <c r="A86" s="1013"/>
      <c r="B86" s="1018" t="s">
        <v>370</v>
      </c>
      <c r="C86" s="978"/>
      <c r="D86" s="653">
        <v>1</v>
      </c>
      <c r="E86" s="300" t="s">
        <v>164</v>
      </c>
      <c r="F86" s="653">
        <v>4250</v>
      </c>
      <c r="G86" s="653">
        <v>96</v>
      </c>
      <c r="H86" s="643">
        <f>12/G86*D86</f>
        <v>0.125</v>
      </c>
      <c r="I86" s="650">
        <f>F86*H86</f>
        <v>531.25</v>
      </c>
    </row>
    <row r="87" spans="1:9" x14ac:dyDescent="0.25">
      <c r="A87" s="1013"/>
      <c r="B87" s="1018" t="s">
        <v>371</v>
      </c>
      <c r="C87" s="978"/>
      <c r="D87" s="653">
        <v>1</v>
      </c>
      <c r="E87" s="300" t="s">
        <v>164</v>
      </c>
      <c r="F87" s="653">
        <v>5330</v>
      </c>
      <c r="G87" s="653">
        <v>96</v>
      </c>
      <c r="H87" s="643">
        <f>12/G87*D87</f>
        <v>0.125</v>
      </c>
      <c r="I87" s="650">
        <f>F87*H87</f>
        <v>666.25</v>
      </c>
    </row>
    <row r="88" spans="1:9" ht="15.75" thickBot="1" x14ac:dyDescent="0.3">
      <c r="A88" s="1014"/>
      <c r="B88" s="996" t="s">
        <v>340</v>
      </c>
      <c r="C88" s="996"/>
      <c r="D88" s="996"/>
      <c r="E88" s="996"/>
      <c r="F88" s="996"/>
      <c r="G88" s="996"/>
      <c r="H88" s="996"/>
      <c r="I88" s="654">
        <f>SUM(I80:I87)</f>
        <v>2077.1666666666665</v>
      </c>
    </row>
    <row r="89" spans="1:9" x14ac:dyDescent="0.25">
      <c r="A89" s="568"/>
      <c r="B89" s="569"/>
      <c r="C89" s="262"/>
      <c r="D89" s="262"/>
      <c r="E89" s="262"/>
      <c r="F89" s="262"/>
      <c r="G89" s="262"/>
      <c r="H89" s="262"/>
      <c r="I89" s="598"/>
    </row>
    <row r="90" spans="1:9" x14ac:dyDescent="0.25">
      <c r="A90" s="568"/>
      <c r="B90" s="569"/>
      <c r="C90" s="262"/>
      <c r="D90" s="262"/>
      <c r="E90" s="262"/>
      <c r="F90" s="262"/>
      <c r="G90" s="262"/>
      <c r="H90" s="262"/>
      <c r="I90" s="598"/>
    </row>
    <row r="91" spans="1:9" x14ac:dyDescent="0.25">
      <c r="A91" s="568"/>
      <c r="B91" s="569"/>
      <c r="C91" s="262"/>
      <c r="D91" s="262"/>
      <c r="E91" s="262"/>
      <c r="F91" s="262"/>
      <c r="G91" s="262"/>
      <c r="H91" s="262"/>
      <c r="I91" s="598"/>
    </row>
    <row r="92" spans="1:9" ht="12.6" customHeight="1" x14ac:dyDescent="0.25">
      <c r="A92" s="568"/>
      <c r="B92" s="569"/>
      <c r="C92" s="262"/>
      <c r="D92" s="262"/>
      <c r="E92" s="262"/>
      <c r="F92" s="262"/>
      <c r="G92" s="262"/>
      <c r="H92" s="262"/>
      <c r="I92" s="598"/>
    </row>
    <row r="93" spans="1:9" ht="11.45" customHeight="1" x14ac:dyDescent="0.25">
      <c r="A93" s="568"/>
      <c r="B93" s="569"/>
      <c r="C93" s="262"/>
      <c r="D93" s="262"/>
      <c r="E93" s="262"/>
      <c r="F93" s="262"/>
      <c r="G93" s="262"/>
      <c r="H93" s="262"/>
      <c r="I93" s="598"/>
    </row>
    <row r="94" spans="1:9" ht="11.45" customHeight="1" x14ac:dyDescent="0.25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25">
      <c r="A95" s="997" t="s">
        <v>372</v>
      </c>
      <c r="B95" s="998"/>
      <c r="C95" s="998"/>
      <c r="D95" s="998"/>
      <c r="E95" s="998"/>
      <c r="F95" s="998"/>
      <c r="G95" s="998"/>
      <c r="H95" s="998"/>
      <c r="I95" s="998"/>
    </row>
    <row r="96" spans="1:9" ht="15.75" hidden="1" thickBot="1" x14ac:dyDescent="0.3">
      <c r="A96" s="999" t="s">
        <v>373</v>
      </c>
      <c r="B96" s="1000"/>
      <c r="C96" s="1000"/>
      <c r="D96" s="1000"/>
      <c r="E96" s="1000"/>
      <c r="F96" s="1000"/>
      <c r="G96" s="1000"/>
      <c r="H96" s="1000"/>
      <c r="I96" s="1000"/>
    </row>
    <row r="97" spans="1:10" hidden="1" x14ac:dyDescent="0.25">
      <c r="A97" s="1001" t="s">
        <v>226</v>
      </c>
      <c r="B97" s="1002"/>
      <c r="C97" s="1005" t="s">
        <v>227</v>
      </c>
      <c r="D97" s="1007" t="s">
        <v>374</v>
      </c>
      <c r="E97" s="1008" t="s">
        <v>375</v>
      </c>
      <c r="F97" s="1009"/>
      <c r="G97" s="1010" t="s">
        <v>376</v>
      </c>
      <c r="H97" s="1011"/>
      <c r="I97" s="371" t="s">
        <v>232</v>
      </c>
    </row>
    <row r="98" spans="1:10" ht="38.25" hidden="1" x14ac:dyDescent="0.25">
      <c r="A98" s="1003"/>
      <c r="B98" s="1004"/>
      <c r="C98" s="1006"/>
      <c r="D98" s="1006"/>
      <c r="E98" s="372" t="s">
        <v>377</v>
      </c>
      <c r="F98" s="372" t="s">
        <v>378</v>
      </c>
      <c r="G98" s="372" t="s">
        <v>377</v>
      </c>
      <c r="H98" s="372" t="s">
        <v>378</v>
      </c>
      <c r="I98" s="373"/>
    </row>
    <row r="99" spans="1:10" hidden="1" x14ac:dyDescent="0.25">
      <c r="A99" s="864" t="s">
        <v>241</v>
      </c>
      <c r="B99" s="678"/>
      <c r="C99" s="678"/>
      <c r="D99" s="678"/>
      <c r="E99" s="678"/>
      <c r="F99" s="985"/>
      <c r="G99" s="374"/>
      <c r="H99" s="374"/>
      <c r="I99" s="375"/>
    </row>
    <row r="100" spans="1:10" hidden="1" x14ac:dyDescent="0.25">
      <c r="A100" s="986" t="s">
        <v>236</v>
      </c>
      <c r="B100" s="987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242</v>
      </c>
    </row>
    <row r="101" spans="1:10" hidden="1" x14ac:dyDescent="0.25">
      <c r="A101" s="986" t="s">
        <v>237</v>
      </c>
      <c r="B101" s="987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243</v>
      </c>
    </row>
    <row r="102" spans="1:10" hidden="1" x14ac:dyDescent="0.25">
      <c r="A102" s="986" t="s">
        <v>238</v>
      </c>
      <c r="B102" s="987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244</v>
      </c>
    </row>
    <row r="103" spans="1:10" hidden="1" x14ac:dyDescent="0.25">
      <c r="A103" s="988" t="s">
        <v>217</v>
      </c>
      <c r="B103" s="989"/>
      <c r="C103" s="994" t="s">
        <v>107</v>
      </c>
      <c r="D103" s="995"/>
      <c r="E103" s="379"/>
      <c r="F103" s="379"/>
      <c r="G103" s="380">
        <f>SUM(G100:G102)</f>
        <v>0</v>
      </c>
      <c r="H103" s="380">
        <f>SUM(H100:H102)</f>
        <v>0</v>
      </c>
      <c r="I103" s="1030">
        <f>G105+H105</f>
        <v>0</v>
      </c>
    </row>
    <row r="104" spans="1:10" hidden="1" x14ac:dyDescent="0.25">
      <c r="A104" s="990"/>
      <c r="B104" s="991"/>
      <c r="C104" s="1033" t="s">
        <v>323</v>
      </c>
      <c r="D104" s="1034"/>
      <c r="E104" s="376"/>
      <c r="F104" s="376"/>
      <c r="G104" s="380">
        <f>[1]Расчет!C25</f>
        <v>0</v>
      </c>
      <c r="H104" s="379">
        <v>0</v>
      </c>
      <c r="I104" s="1031"/>
    </row>
    <row r="105" spans="1:10" hidden="1" x14ac:dyDescent="0.25">
      <c r="A105" s="992"/>
      <c r="B105" s="993"/>
      <c r="C105" s="1033" t="s">
        <v>379</v>
      </c>
      <c r="D105" s="1034"/>
      <c r="E105" s="376"/>
      <c r="F105" s="376"/>
      <c r="G105" s="379">
        <f>G103*G104</f>
        <v>0</v>
      </c>
      <c r="H105" s="379">
        <f>H103*H104</f>
        <v>0</v>
      </c>
      <c r="I105" s="1032"/>
    </row>
    <row r="106" spans="1:10" ht="15.75" thickBot="1" x14ac:dyDescent="0.3">
      <c r="A106" s="1035"/>
      <c r="B106" s="1036"/>
      <c r="C106" s="381"/>
      <c r="D106" s="381"/>
      <c r="E106" s="382"/>
      <c r="F106" s="382"/>
      <c r="G106" s="382"/>
      <c r="H106" s="382"/>
      <c r="I106" s="383"/>
    </row>
    <row r="107" spans="1:10" ht="41.45" customHeight="1" x14ac:dyDescent="0.25">
      <c r="A107" s="1012" t="s">
        <v>226</v>
      </c>
      <c r="B107" s="1038" t="s">
        <v>380</v>
      </c>
      <c r="C107" s="1039"/>
      <c r="D107" s="1040" t="s">
        <v>381</v>
      </c>
      <c r="E107" s="1042" t="s">
        <v>382</v>
      </c>
      <c r="F107" s="1043"/>
      <c r="G107" s="1044" t="s">
        <v>383</v>
      </c>
      <c r="H107" s="1046" t="s">
        <v>384</v>
      </c>
      <c r="I107" s="1047"/>
    </row>
    <row r="108" spans="1:10" ht="48.6" customHeight="1" thickBot="1" x14ac:dyDescent="0.3">
      <c r="A108" s="1037"/>
      <c r="B108" s="384" t="s">
        <v>385</v>
      </c>
      <c r="C108" s="384" t="s">
        <v>386</v>
      </c>
      <c r="D108" s="1041"/>
      <c r="E108" s="384" t="s">
        <v>385</v>
      </c>
      <c r="F108" s="384" t="s">
        <v>386</v>
      </c>
      <c r="G108" s="1045"/>
      <c r="H108" s="385" t="s">
        <v>387</v>
      </c>
      <c r="I108" s="386" t="s">
        <v>388</v>
      </c>
      <c r="J108">
        <f>26.6/1.2</f>
        <v>22.166666666666668</v>
      </c>
    </row>
    <row r="109" spans="1:10" ht="15.75" thickBot="1" x14ac:dyDescent="0.3">
      <c r="A109" s="1019" t="s">
        <v>389</v>
      </c>
      <c r="B109" s="727"/>
      <c r="C109" s="727"/>
      <c r="D109" s="1020"/>
      <c r="E109" s="1021" t="s">
        <v>390</v>
      </c>
      <c r="F109" s="1022"/>
      <c r="G109" s="1023"/>
      <c r="H109" s="387">
        <v>2.6499999999999999E-2</v>
      </c>
      <c r="I109" s="388">
        <v>0.53</v>
      </c>
      <c r="J109" t="s">
        <v>479</v>
      </c>
    </row>
    <row r="110" spans="1:10" ht="25.5" x14ac:dyDescent="0.25">
      <c r="A110" s="389" t="s">
        <v>391</v>
      </c>
      <c r="B110" s="376">
        <f>[1]Таблица_Характеристика!$H$59*(IF([1]Расчет!$D$35=1,1,0))</f>
        <v>0</v>
      </c>
      <c r="C110" s="376">
        <f>Характеристика!L49</f>
        <v>3993</v>
      </c>
      <c r="D110" s="390">
        <v>2</v>
      </c>
      <c r="E110" s="391"/>
      <c r="F110" s="391">
        <v>0.42</v>
      </c>
      <c r="G110" s="391">
        <f>((B110/100*E110)+(C110/100*F110))*D110</f>
        <v>33.541199999999996</v>
      </c>
      <c r="H110" s="391">
        <f>G110*H109</f>
        <v>0.8888417999999999</v>
      </c>
      <c r="I110" s="392">
        <f>G110*I109</f>
        <v>17.776835999999999</v>
      </c>
    </row>
    <row r="111" spans="1:10" x14ac:dyDescent="0.25">
      <c r="A111" s="1024" t="s">
        <v>217</v>
      </c>
      <c r="B111" s="1025" t="s">
        <v>107</v>
      </c>
      <c r="C111" s="1026"/>
      <c r="D111" s="390"/>
      <c r="E111" s="393"/>
      <c r="F111" s="393"/>
      <c r="G111" s="376"/>
      <c r="H111" s="379">
        <f>SUM(H110:H110)</f>
        <v>0.8888417999999999</v>
      </c>
      <c r="I111" s="394">
        <f>SUM(I110:I110)</f>
        <v>17.776835999999999</v>
      </c>
    </row>
    <row r="112" spans="1:10" x14ac:dyDescent="0.25">
      <c r="A112" s="1024"/>
      <c r="B112" s="1027" t="s">
        <v>323</v>
      </c>
      <c r="C112" s="1027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25">
      <c r="A113" s="1024"/>
      <c r="B113" s="1028" t="s">
        <v>392</v>
      </c>
      <c r="C113" s="1028"/>
      <c r="D113" s="395"/>
      <c r="E113" s="396"/>
      <c r="F113" s="396"/>
      <c r="G113" s="396"/>
      <c r="H113" s="397">
        <f>H111*H112</f>
        <v>53.330507999999995</v>
      </c>
      <c r="I113" s="398">
        <f>I111*I112</f>
        <v>394.11245412</v>
      </c>
    </row>
    <row r="114" spans="1:9" x14ac:dyDescent="0.25">
      <c r="A114" s="1024"/>
      <c r="B114" s="1029" t="s">
        <v>478</v>
      </c>
      <c r="C114" s="1029"/>
      <c r="D114" s="1029"/>
      <c r="E114" s="393"/>
      <c r="F114" s="393"/>
      <c r="G114" s="393"/>
      <c r="H114" s="379">
        <f>C110*0.0178</f>
        <v>71.075400000000002</v>
      </c>
      <c r="I114" s="379"/>
    </row>
    <row r="115" spans="1:9" x14ac:dyDescent="0.25">
      <c r="A115" s="399"/>
      <c r="B115" s="1029" t="s">
        <v>393</v>
      </c>
      <c r="C115" s="1029"/>
      <c r="D115" s="1029"/>
      <c r="E115" s="393"/>
      <c r="F115" s="393"/>
      <c r="G115" s="393"/>
      <c r="H115" s="379">
        <f>G110*2.2</f>
        <v>73.790639999999996</v>
      </c>
      <c r="I115" s="379"/>
    </row>
    <row r="116" spans="1:9" x14ac:dyDescent="0.25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592.30900212000006</v>
      </c>
    </row>
    <row r="117" spans="1:9" s="356" customFormat="1" hidden="1" x14ac:dyDescent="0.25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.75" hidden="1" thickBot="1" x14ac:dyDescent="0.3">
      <c r="A118" s="1057" t="s">
        <v>394</v>
      </c>
      <c r="B118" s="1058"/>
      <c r="C118" s="1058"/>
      <c r="D118" s="1058"/>
      <c r="E118" s="1058"/>
      <c r="F118" s="1058"/>
      <c r="G118" s="1058"/>
      <c r="H118" s="1058"/>
      <c r="I118" s="1058"/>
    </row>
    <row r="119" spans="1:9" s="356" customFormat="1" hidden="1" x14ac:dyDescent="0.25">
      <c r="A119" s="1059" t="s">
        <v>226</v>
      </c>
      <c r="B119" s="1060"/>
      <c r="C119" s="1063" t="s">
        <v>227</v>
      </c>
      <c r="D119" s="1065" t="s">
        <v>228</v>
      </c>
      <c r="E119" s="1066" t="s">
        <v>375</v>
      </c>
      <c r="F119" s="1067"/>
      <c r="G119" s="1068" t="s">
        <v>376</v>
      </c>
      <c r="H119" s="1069"/>
      <c r="I119" s="309" t="s">
        <v>232</v>
      </c>
    </row>
    <row r="120" spans="1:9" s="356" customFormat="1" ht="26.25" hidden="1" thickBot="1" x14ac:dyDescent="0.3">
      <c r="A120" s="1061"/>
      <c r="B120" s="1062"/>
      <c r="C120" s="1064"/>
      <c r="D120" s="1064"/>
      <c r="E120" s="312" t="s">
        <v>377</v>
      </c>
      <c r="F120" s="312" t="s">
        <v>395</v>
      </c>
      <c r="G120" s="312" t="s">
        <v>377</v>
      </c>
      <c r="H120" s="312" t="s">
        <v>395</v>
      </c>
      <c r="I120" s="313"/>
    </row>
    <row r="121" spans="1:9" s="356" customFormat="1" ht="15.75" hidden="1" thickBot="1" x14ac:dyDescent="0.3">
      <c r="A121" s="1048" t="s">
        <v>396</v>
      </c>
      <c r="B121" s="1049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397</v>
      </c>
    </row>
    <row r="122" spans="1:9" s="356" customFormat="1" hidden="1" x14ac:dyDescent="0.25">
      <c r="A122" s="1050" t="s">
        <v>398</v>
      </c>
      <c r="B122" s="1051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399</v>
      </c>
    </row>
    <row r="123" spans="1:9" s="356" customFormat="1" hidden="1" x14ac:dyDescent="0.25">
      <c r="A123" s="1052" t="s">
        <v>400</v>
      </c>
      <c r="B123" s="1053"/>
      <c r="C123" s="1054"/>
      <c r="D123" s="324"/>
      <c r="E123" s="321"/>
      <c r="F123" s="325"/>
      <c r="G123" s="321"/>
      <c r="H123" s="326"/>
      <c r="I123" s="327"/>
    </row>
    <row r="124" spans="1:9" s="356" customFormat="1" hidden="1" x14ac:dyDescent="0.25">
      <c r="A124" s="1055" t="s">
        <v>401</v>
      </c>
      <c r="B124" s="1056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402</v>
      </c>
    </row>
    <row r="125" spans="1:9" s="356" customFormat="1" hidden="1" x14ac:dyDescent="0.25">
      <c r="A125" s="1055" t="s">
        <v>403</v>
      </c>
      <c r="B125" s="1056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404</v>
      </c>
    </row>
    <row r="126" spans="1:9" s="356" customFormat="1" hidden="1" x14ac:dyDescent="0.25">
      <c r="A126" s="1055" t="s">
        <v>405</v>
      </c>
      <c r="B126" s="1056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406</v>
      </c>
    </row>
    <row r="127" spans="1:9" s="356" customFormat="1" hidden="1" x14ac:dyDescent="0.25">
      <c r="A127" s="1055" t="s">
        <v>407</v>
      </c>
      <c r="B127" s="1056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408</v>
      </c>
    </row>
    <row r="128" spans="1:9" s="356" customFormat="1" hidden="1" x14ac:dyDescent="0.25">
      <c r="A128" s="1055" t="s">
        <v>409</v>
      </c>
      <c r="B128" s="1056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410</v>
      </c>
    </row>
    <row r="129" spans="1:9" s="356" customFormat="1" hidden="1" x14ac:dyDescent="0.25">
      <c r="A129" s="1055" t="s">
        <v>411</v>
      </c>
      <c r="B129" s="1056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412</v>
      </c>
    </row>
    <row r="130" spans="1:9" s="356" customFormat="1" hidden="1" x14ac:dyDescent="0.25">
      <c r="A130" s="1055" t="s">
        <v>413</v>
      </c>
      <c r="B130" s="1056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414</v>
      </c>
    </row>
    <row r="131" spans="1:9" s="356" customFormat="1" hidden="1" x14ac:dyDescent="0.25">
      <c r="A131" s="1052" t="s">
        <v>415</v>
      </c>
      <c r="B131" s="1053"/>
      <c r="C131" s="1054"/>
      <c r="D131" s="324"/>
      <c r="E131" s="321"/>
      <c r="F131" s="325"/>
      <c r="G131" s="321"/>
      <c r="H131" s="326"/>
      <c r="I131" s="327"/>
    </row>
    <row r="132" spans="1:9" s="356" customFormat="1" hidden="1" x14ac:dyDescent="0.25">
      <c r="A132" s="1055" t="s">
        <v>401</v>
      </c>
      <c r="B132" s="1056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416</v>
      </c>
    </row>
    <row r="133" spans="1:9" s="356" customFormat="1" hidden="1" x14ac:dyDescent="0.25">
      <c r="A133" s="1055" t="s">
        <v>403</v>
      </c>
      <c r="B133" s="1056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417</v>
      </c>
    </row>
    <row r="134" spans="1:9" s="356" customFormat="1" hidden="1" x14ac:dyDescent="0.25">
      <c r="A134" s="1055" t="s">
        <v>405</v>
      </c>
      <c r="B134" s="1056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418</v>
      </c>
    </row>
    <row r="135" spans="1:9" s="356" customFormat="1" hidden="1" x14ac:dyDescent="0.25">
      <c r="A135" s="1055" t="s">
        <v>407</v>
      </c>
      <c r="B135" s="1056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419</v>
      </c>
    </row>
    <row r="136" spans="1:9" s="356" customFormat="1" hidden="1" x14ac:dyDescent="0.25">
      <c r="A136" s="1055" t="s">
        <v>409</v>
      </c>
      <c r="B136" s="1056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420</v>
      </c>
    </row>
    <row r="137" spans="1:9" s="356" customFormat="1" hidden="1" x14ac:dyDescent="0.25">
      <c r="A137" s="1055" t="s">
        <v>411</v>
      </c>
      <c r="B137" s="1056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421</v>
      </c>
    </row>
    <row r="138" spans="1:9" s="356" customFormat="1" hidden="1" x14ac:dyDescent="0.25">
      <c r="A138" s="1055" t="s">
        <v>413</v>
      </c>
      <c r="B138" s="1056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422</v>
      </c>
    </row>
    <row r="139" spans="1:9" s="356" customFormat="1" hidden="1" x14ac:dyDescent="0.25">
      <c r="A139" s="1052" t="s">
        <v>423</v>
      </c>
      <c r="B139" s="1074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424</v>
      </c>
    </row>
    <row r="140" spans="1:9" s="356" customFormat="1" hidden="1" x14ac:dyDescent="0.25">
      <c r="A140" s="1052" t="s">
        <v>425</v>
      </c>
      <c r="B140" s="1074"/>
      <c r="C140" s="329"/>
      <c r="D140" s="320"/>
      <c r="E140" s="310"/>
      <c r="F140" s="330"/>
      <c r="G140" s="310"/>
      <c r="H140" s="322"/>
      <c r="I140" s="331"/>
    </row>
    <row r="141" spans="1:9" s="356" customFormat="1" hidden="1" x14ac:dyDescent="0.25">
      <c r="A141" s="1055" t="s">
        <v>426</v>
      </c>
      <c r="B141" s="1056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427</v>
      </c>
    </row>
    <row r="142" spans="1:9" s="356" customFormat="1" hidden="1" x14ac:dyDescent="0.25">
      <c r="A142" s="1055" t="s">
        <v>428</v>
      </c>
      <c r="B142" s="1056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429</v>
      </c>
    </row>
    <row r="143" spans="1:9" s="356" customFormat="1" hidden="1" x14ac:dyDescent="0.25">
      <c r="A143" s="1055" t="s">
        <v>430</v>
      </c>
      <c r="B143" s="1056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431</v>
      </c>
    </row>
    <row r="144" spans="1:9" s="356" customFormat="1" hidden="1" x14ac:dyDescent="0.25">
      <c r="A144" s="1055" t="s">
        <v>432</v>
      </c>
      <c r="B144" s="1056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433</v>
      </c>
    </row>
    <row r="145" spans="1:9" s="356" customFormat="1" hidden="1" x14ac:dyDescent="0.25">
      <c r="A145" s="1055" t="s">
        <v>434</v>
      </c>
      <c r="B145" s="1056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435</v>
      </c>
    </row>
    <row r="146" spans="1:9" s="356" customFormat="1" hidden="1" x14ac:dyDescent="0.25">
      <c r="A146" s="1055" t="s">
        <v>436</v>
      </c>
      <c r="B146" s="1056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437</v>
      </c>
    </row>
    <row r="147" spans="1:9" s="356" customFormat="1" hidden="1" x14ac:dyDescent="0.25">
      <c r="A147" s="1055" t="s">
        <v>438</v>
      </c>
      <c r="B147" s="1056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439</v>
      </c>
    </row>
    <row r="148" spans="1:9" s="356" customFormat="1" hidden="1" x14ac:dyDescent="0.25">
      <c r="A148" s="1055" t="s">
        <v>440</v>
      </c>
      <c r="B148" s="1056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441</v>
      </c>
    </row>
    <row r="149" spans="1:9" s="356" customFormat="1" hidden="1" x14ac:dyDescent="0.25">
      <c r="A149" s="1070" t="s">
        <v>442</v>
      </c>
      <c r="B149" s="1071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443</v>
      </c>
    </row>
    <row r="150" spans="1:9" s="356" customFormat="1" hidden="1" x14ac:dyDescent="0.25">
      <c r="A150" s="1072" t="s">
        <v>444</v>
      </c>
      <c r="B150" s="1073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hidden="1" x14ac:dyDescent="0.25">
      <c r="A151" s="1072" t="s">
        <v>445</v>
      </c>
      <c r="B151" s="1073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hidden="1" x14ac:dyDescent="0.25">
      <c r="A152" s="1070" t="s">
        <v>446</v>
      </c>
      <c r="B152" s="1084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hidden="1" x14ac:dyDescent="0.25">
      <c r="A153" s="1070" t="s">
        <v>447</v>
      </c>
      <c r="B153" s="1084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hidden="1" x14ac:dyDescent="0.25">
      <c r="A154" s="1085" t="s">
        <v>448</v>
      </c>
      <c r="B154" s="1086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hidden="1" x14ac:dyDescent="0.25">
      <c r="A155" s="1055" t="s">
        <v>449</v>
      </c>
      <c r="B155" s="1056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450</v>
      </c>
    </row>
    <row r="156" spans="1:9" s="356" customFormat="1" hidden="1" x14ac:dyDescent="0.25">
      <c r="A156" s="1055" t="s">
        <v>451</v>
      </c>
      <c r="B156" s="1075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452</v>
      </c>
    </row>
    <row r="157" spans="1:9" s="356" customFormat="1" hidden="1" x14ac:dyDescent="0.25">
      <c r="A157" s="1055" t="s">
        <v>453</v>
      </c>
      <c r="B157" s="1075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454</v>
      </c>
    </row>
    <row r="158" spans="1:9" s="356" customFormat="1" hidden="1" x14ac:dyDescent="0.25">
      <c r="A158" s="1055" t="s">
        <v>455</v>
      </c>
      <c r="B158" s="1075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456</v>
      </c>
    </row>
    <row r="159" spans="1:9" s="356" customFormat="1" hidden="1" x14ac:dyDescent="0.25">
      <c r="A159" s="1055" t="s">
        <v>457</v>
      </c>
      <c r="B159" s="1075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458</v>
      </c>
    </row>
    <row r="160" spans="1:9" s="356" customFormat="1" hidden="1" x14ac:dyDescent="0.25">
      <c r="A160" s="1076" t="s">
        <v>459</v>
      </c>
      <c r="B160" s="338" t="s">
        <v>107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1079">
        <f>G162+H162</f>
        <v>0</v>
      </c>
    </row>
    <row r="161" spans="1:9" s="356" customFormat="1" hidden="1" x14ac:dyDescent="0.25">
      <c r="A161" s="1077"/>
      <c r="B161" s="338" t="s">
        <v>323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1080"/>
    </row>
    <row r="162" spans="1:9" s="356" customFormat="1" ht="15.75" hidden="1" thickBot="1" x14ac:dyDescent="0.3">
      <c r="A162" s="1078"/>
      <c r="B162" s="341" t="s">
        <v>379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1081"/>
    </row>
    <row r="163" spans="1:9" s="356" customFormat="1" hidden="1" x14ac:dyDescent="0.25">
      <c r="A163" s="1082" t="s">
        <v>460</v>
      </c>
      <c r="B163" s="1083"/>
      <c r="C163" s="1083"/>
      <c r="D163" s="1083"/>
      <c r="E163" s="1083"/>
      <c r="F163" s="1083"/>
      <c r="G163" s="1083"/>
      <c r="H163" s="1083"/>
      <c r="I163" s="1083"/>
    </row>
    <row r="164" spans="1:9" s="356" customFormat="1" hidden="1" x14ac:dyDescent="0.25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hidden="1" x14ac:dyDescent="0.25">
      <c r="A165" s="1096" t="s">
        <v>461</v>
      </c>
      <c r="B165" s="1097"/>
      <c r="C165" s="1097"/>
      <c r="D165" s="1097"/>
      <c r="E165" s="1097"/>
      <c r="F165" s="1097"/>
      <c r="G165" s="1097"/>
      <c r="H165" s="1097"/>
      <c r="I165" s="1097"/>
    </row>
    <row r="166" spans="1:9" s="356" customFormat="1" ht="15.75" hidden="1" thickBot="1" x14ac:dyDescent="0.3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hidden="1" x14ac:dyDescent="0.25">
      <c r="A167" s="1059" t="s">
        <v>462</v>
      </c>
      <c r="B167" s="1060"/>
      <c r="C167" s="1063" t="s">
        <v>227</v>
      </c>
      <c r="D167" s="1065" t="s">
        <v>228</v>
      </c>
      <c r="E167" s="1066" t="s">
        <v>375</v>
      </c>
      <c r="F167" s="1067"/>
      <c r="G167" s="1101" t="s">
        <v>376</v>
      </c>
      <c r="H167" s="1101"/>
      <c r="I167" s="1102" t="s">
        <v>232</v>
      </c>
    </row>
    <row r="168" spans="1:9" s="356" customFormat="1" ht="25.5" hidden="1" x14ac:dyDescent="0.25">
      <c r="A168" s="1098"/>
      <c r="B168" s="1099"/>
      <c r="C168" s="1100"/>
      <c r="D168" s="1100"/>
      <c r="E168" s="344" t="s">
        <v>377</v>
      </c>
      <c r="F168" s="345" t="s">
        <v>463</v>
      </c>
      <c r="G168" s="344" t="s">
        <v>377</v>
      </c>
      <c r="H168" s="346" t="s">
        <v>463</v>
      </c>
      <c r="I168" s="1080"/>
    </row>
    <row r="169" spans="1:9" s="356" customFormat="1" hidden="1" x14ac:dyDescent="0.25">
      <c r="A169" s="338" t="s">
        <v>464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hidden="1" x14ac:dyDescent="0.25">
      <c r="A170" s="1087">
        <f>[1]підвали!A33</f>
        <v>0</v>
      </c>
      <c r="B170" s="1088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465</v>
      </c>
    </row>
    <row r="171" spans="1:9" s="356" customFormat="1" hidden="1" x14ac:dyDescent="0.25">
      <c r="A171" s="1087">
        <f>[1]підвали!A34</f>
        <v>0</v>
      </c>
      <c r="B171" s="1088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466</v>
      </c>
    </row>
    <row r="172" spans="1:9" s="356" customFormat="1" hidden="1" x14ac:dyDescent="0.25">
      <c r="A172" s="1087">
        <f>[1]підвали!A35</f>
        <v>0</v>
      </c>
      <c r="B172" s="1088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467</v>
      </c>
    </row>
    <row r="173" spans="1:9" s="356" customFormat="1" hidden="1" x14ac:dyDescent="0.25">
      <c r="A173" s="1087">
        <f>[1]підвали!A36</f>
        <v>0</v>
      </c>
      <c r="B173" s="1088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468</v>
      </c>
    </row>
    <row r="174" spans="1:9" s="356" customFormat="1" hidden="1" x14ac:dyDescent="0.25">
      <c r="A174" s="1089"/>
      <c r="B174" s="1090"/>
      <c r="C174" s="1094" t="s">
        <v>107</v>
      </c>
      <c r="D174" s="1095"/>
      <c r="E174" s="344"/>
      <c r="F174" s="344"/>
      <c r="G174" s="311">
        <f>SUM(G170:G173)</f>
        <v>0</v>
      </c>
      <c r="H174" s="311">
        <f>SUM(H170:H173)</f>
        <v>0</v>
      </c>
      <c r="I174" s="1112">
        <f>G176+H176</f>
        <v>0</v>
      </c>
    </row>
    <row r="175" spans="1:9" s="356" customFormat="1" hidden="1" x14ac:dyDescent="0.25">
      <c r="A175" s="1091"/>
      <c r="B175" s="1090"/>
      <c r="C175" s="1094" t="s">
        <v>323</v>
      </c>
      <c r="D175" s="1095"/>
      <c r="E175" s="344"/>
      <c r="F175" s="344"/>
      <c r="G175" s="311">
        <f>[1]Расчет!C26*0</f>
        <v>0</v>
      </c>
      <c r="H175" s="311">
        <v>0</v>
      </c>
      <c r="I175" s="1113"/>
    </row>
    <row r="176" spans="1:9" s="356" customFormat="1" ht="15.75" hidden="1" thickBot="1" x14ac:dyDescent="0.3">
      <c r="A176" s="1092"/>
      <c r="B176" s="1093"/>
      <c r="C176" s="1115" t="s">
        <v>379</v>
      </c>
      <c r="D176" s="1064"/>
      <c r="E176" s="312"/>
      <c r="F176" s="312"/>
      <c r="G176" s="355">
        <f>G174*G175</f>
        <v>0</v>
      </c>
      <c r="H176" s="355">
        <f>H174*H175</f>
        <v>0</v>
      </c>
      <c r="I176" s="1114"/>
    </row>
    <row r="177" spans="1:9" s="356" customFormat="1" hidden="1" x14ac:dyDescent="0.25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.75" hidden="1" thickBot="1" x14ac:dyDescent="0.3">
      <c r="A178" s="1096" t="s">
        <v>469</v>
      </c>
      <c r="B178" s="1097"/>
      <c r="C178" s="1097"/>
      <c r="D178" s="1097"/>
      <c r="E178" s="1097"/>
      <c r="F178" s="1097"/>
      <c r="G178" s="1097"/>
      <c r="H178" s="1097"/>
      <c r="I178" s="1097"/>
    </row>
    <row r="179" spans="1:9" s="356" customFormat="1" hidden="1" x14ac:dyDescent="0.25">
      <c r="A179" s="1059" t="s">
        <v>226</v>
      </c>
      <c r="B179" s="1060"/>
      <c r="C179" s="1063" t="s">
        <v>470</v>
      </c>
      <c r="D179" s="1065" t="s">
        <v>374</v>
      </c>
      <c r="E179" s="1116" t="s">
        <v>375</v>
      </c>
      <c r="F179" s="1116"/>
      <c r="G179" s="1117" t="s">
        <v>376</v>
      </c>
      <c r="H179" s="1117"/>
      <c r="I179" s="1102" t="s">
        <v>232</v>
      </c>
    </row>
    <row r="180" spans="1:9" s="356" customFormat="1" ht="15.75" hidden="1" thickBot="1" x14ac:dyDescent="0.3">
      <c r="A180" s="1061"/>
      <c r="B180" s="1062"/>
      <c r="C180" s="1064"/>
      <c r="D180" s="1064"/>
      <c r="E180" s="1103" t="s">
        <v>471</v>
      </c>
      <c r="F180" s="1104"/>
      <c r="G180" s="1103" t="s">
        <v>471</v>
      </c>
      <c r="H180" s="1104"/>
      <c r="I180" s="1118"/>
    </row>
    <row r="181" spans="1:9" s="356" customFormat="1" hidden="1" x14ac:dyDescent="0.25">
      <c r="A181" s="1105" t="s">
        <v>236</v>
      </c>
      <c r="B181" s="1106"/>
      <c r="C181" s="328">
        <f>[1]Снег!C56</f>
        <v>0</v>
      </c>
      <c r="D181" s="324">
        <f>[1]Снег!D56</f>
        <v>0</v>
      </c>
      <c r="E181" s="1107">
        <v>1.4999999999999999E-2</v>
      </c>
      <c r="F181" s="1108"/>
      <c r="G181" s="1107">
        <f xml:space="preserve"> C181/100*D181*E181</f>
        <v>0</v>
      </c>
      <c r="H181" s="1108"/>
      <c r="I181" s="365" t="s">
        <v>472</v>
      </c>
    </row>
    <row r="182" spans="1:9" s="356" customFormat="1" hidden="1" x14ac:dyDescent="0.25">
      <c r="A182" s="1109" t="s">
        <v>237</v>
      </c>
      <c r="B182" s="1090"/>
      <c r="C182" s="329">
        <f>[1]Снег!C57</f>
        <v>0</v>
      </c>
      <c r="D182" s="320">
        <f>[1]Снег!D57</f>
        <v>60</v>
      </c>
      <c r="E182" s="1110">
        <v>1.7000000000000001E-2</v>
      </c>
      <c r="F182" s="1111"/>
      <c r="G182" s="1110">
        <f xml:space="preserve"> C182/100*D182*E182</f>
        <v>0</v>
      </c>
      <c r="H182" s="1111"/>
      <c r="I182" s="366" t="s">
        <v>473</v>
      </c>
    </row>
    <row r="183" spans="1:9" s="356" customFormat="1" hidden="1" x14ac:dyDescent="0.25">
      <c r="A183" s="1109" t="s">
        <v>238</v>
      </c>
      <c r="B183" s="1090"/>
      <c r="C183" s="329">
        <v>0</v>
      </c>
      <c r="D183" s="320">
        <f>[1]Снег!D58</f>
        <v>0</v>
      </c>
      <c r="E183" s="1110">
        <v>0.02</v>
      </c>
      <c r="F183" s="1111"/>
      <c r="G183" s="1110">
        <f xml:space="preserve"> C183/100*D183*E183</f>
        <v>0</v>
      </c>
      <c r="H183" s="1111"/>
      <c r="I183" s="366" t="s">
        <v>474</v>
      </c>
    </row>
    <row r="184" spans="1:9" s="356" customFormat="1" hidden="1" x14ac:dyDescent="0.25">
      <c r="A184" s="1089"/>
      <c r="B184" s="1090"/>
      <c r="C184" s="1094" t="s">
        <v>107</v>
      </c>
      <c r="D184" s="1095"/>
      <c r="E184" s="1122"/>
      <c r="F184" s="1123"/>
      <c r="G184" s="1128">
        <f>SUM(G181:G183)</f>
        <v>0</v>
      </c>
      <c r="H184" s="1129"/>
      <c r="I184" s="1119">
        <f>G186</f>
        <v>0</v>
      </c>
    </row>
    <row r="185" spans="1:9" s="356" customFormat="1" hidden="1" x14ac:dyDescent="0.25">
      <c r="A185" s="1091"/>
      <c r="B185" s="1090"/>
      <c r="C185" s="1094" t="s">
        <v>323</v>
      </c>
      <c r="D185" s="1095"/>
      <c r="E185" s="1122"/>
      <c r="F185" s="1123"/>
      <c r="G185" s="1124">
        <v>197.79</v>
      </c>
      <c r="H185" s="1125"/>
      <c r="I185" s="1120"/>
    </row>
    <row r="186" spans="1:9" s="356" customFormat="1" ht="15.75" hidden="1" thickBot="1" x14ac:dyDescent="0.3">
      <c r="A186" s="1092"/>
      <c r="B186" s="1093"/>
      <c r="C186" s="1115" t="s">
        <v>379</v>
      </c>
      <c r="D186" s="1064"/>
      <c r="E186" s="1103"/>
      <c r="F186" s="1104"/>
      <c r="G186" s="1126">
        <f>G184*G185</f>
        <v>0</v>
      </c>
      <c r="H186" s="1127"/>
      <c r="I186" s="1121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7" zoomScaleNormal="100" workbookViewId="0">
      <selection activeCell="H20" sqref="H20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0" t="str">
        <f>[1]Таблица_Характеристика!C3</f>
        <v>КП "Житлово-експлуатаційна контора "</v>
      </c>
      <c r="B1" s="1130"/>
      <c r="C1" s="1130"/>
      <c r="D1" s="1130"/>
      <c r="E1" s="1130"/>
      <c r="F1" s="1130"/>
      <c r="G1" s="1130"/>
      <c r="H1" s="1130"/>
      <c r="I1" s="37"/>
      <c r="J1" s="37"/>
      <c r="K1" s="37"/>
      <c r="L1" s="37"/>
    </row>
    <row r="2" spans="1:12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183</v>
      </c>
      <c r="K2" s="37"/>
      <c r="L2" s="37"/>
    </row>
    <row r="3" spans="1:12" x14ac:dyDescent="0.25">
      <c r="A3" s="169"/>
      <c r="B3" s="37"/>
      <c r="C3" s="37"/>
      <c r="D3" s="37"/>
      <c r="E3" s="169"/>
      <c r="F3" s="169"/>
      <c r="G3" s="169"/>
      <c r="H3" s="169"/>
      <c r="I3" s="169"/>
      <c r="J3" s="170" t="s">
        <v>184</v>
      </c>
      <c r="K3" s="169"/>
      <c r="L3" s="37"/>
    </row>
    <row r="4" spans="1:12" ht="15.75" x14ac:dyDescent="0.25">
      <c r="A4" s="171" t="s">
        <v>185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54" customHeight="1" x14ac:dyDescent="0.25">
      <c r="A5" s="1131" t="s">
        <v>940</v>
      </c>
      <c r="B5" s="1132"/>
      <c r="C5" s="1132"/>
      <c r="D5" s="1132"/>
      <c r="E5" s="1132"/>
      <c r="F5" s="1132"/>
      <c r="G5" s="1132"/>
      <c r="H5" s="1132"/>
      <c r="I5" s="1132"/>
      <c r="J5" s="1132"/>
      <c r="K5" s="1132"/>
      <c r="L5" s="1132"/>
    </row>
    <row r="6" spans="1:12" ht="157.15" customHeight="1" x14ac:dyDescent="0.25">
      <c r="A6" s="1133" t="s">
        <v>186</v>
      </c>
      <c r="B6" s="1134"/>
      <c r="C6" s="1134"/>
      <c r="D6" s="1135"/>
      <c r="E6" s="172" t="s">
        <v>187</v>
      </c>
      <c r="F6" s="1136" t="s">
        <v>941</v>
      </c>
      <c r="G6" s="1137"/>
      <c r="H6" s="173" t="s">
        <v>188</v>
      </c>
      <c r="I6" s="173" t="s">
        <v>189</v>
      </c>
      <c r="J6" s="172" t="s">
        <v>190</v>
      </c>
      <c r="K6" s="172" t="s">
        <v>191</v>
      </c>
      <c r="L6" s="174" t="s">
        <v>192</v>
      </c>
    </row>
    <row r="7" spans="1:12" x14ac:dyDescent="0.25">
      <c r="A7" s="1138" t="s">
        <v>193</v>
      </c>
      <c r="B7" s="1139"/>
      <c r="C7" s="1139"/>
      <c r="D7" s="1140"/>
      <c r="E7" s="175">
        <v>1</v>
      </c>
      <c r="F7" s="1141">
        <f>$D$26</f>
        <v>2240</v>
      </c>
      <c r="G7" s="1142"/>
      <c r="H7" s="176">
        <v>1.6</v>
      </c>
      <c r="I7" s="176">
        <v>1.26</v>
      </c>
      <c r="J7" s="176">
        <f>IF(E7=1,A17,IF(E7=2,B17,IF(E7=3,C17,IF(E7=4,D17,IF(E7=5,E17,F17)))))</f>
        <v>1</v>
      </c>
      <c r="K7" s="677">
        <f>ROUND(F7*H7*I7*J7,0)</f>
        <v>4516</v>
      </c>
      <c r="L7" s="177" t="s">
        <v>194</v>
      </c>
    </row>
    <row r="8" spans="1:12" x14ac:dyDescent="0.25">
      <c r="A8" s="1138" t="s">
        <v>195</v>
      </c>
      <c r="B8" s="1139"/>
      <c r="C8" s="1139"/>
      <c r="D8" s="1140"/>
      <c r="E8" s="175">
        <v>3</v>
      </c>
      <c r="F8" s="1141">
        <f t="shared" ref="F8:F12" si="0">$D$26</f>
        <v>2240</v>
      </c>
      <c r="G8" s="1142"/>
      <c r="H8" s="176">
        <v>1.6</v>
      </c>
      <c r="I8" s="176">
        <v>1.46</v>
      </c>
      <c r="J8" s="176">
        <v>1.2</v>
      </c>
      <c r="K8" s="176">
        <f>ROUND(F8*H8*I8*J8,0)</f>
        <v>6279</v>
      </c>
      <c r="L8" s="177" t="s">
        <v>194</v>
      </c>
    </row>
    <row r="9" spans="1:12" x14ac:dyDescent="0.25">
      <c r="A9" s="1138" t="s">
        <v>196</v>
      </c>
      <c r="B9" s="1139"/>
      <c r="C9" s="1139"/>
      <c r="D9" s="1140"/>
      <c r="E9" s="175">
        <v>5</v>
      </c>
      <c r="F9" s="1141">
        <f t="shared" si="0"/>
        <v>2240</v>
      </c>
      <c r="G9" s="1142"/>
      <c r="H9" s="176">
        <v>1.6</v>
      </c>
      <c r="I9" s="176">
        <v>1.46</v>
      </c>
      <c r="J9" s="176">
        <v>1.54</v>
      </c>
      <c r="K9" s="176">
        <f t="shared" ref="K9:K12" si="1">ROUND(F9*H9*I9*J9,0)</f>
        <v>8058</v>
      </c>
      <c r="L9" s="177" t="s">
        <v>194</v>
      </c>
    </row>
    <row r="10" spans="1:12" x14ac:dyDescent="0.25">
      <c r="A10" s="1138" t="s">
        <v>197</v>
      </c>
      <c r="B10" s="1139"/>
      <c r="C10" s="1139"/>
      <c r="D10" s="1140"/>
      <c r="E10" s="175">
        <v>5</v>
      </c>
      <c r="F10" s="1141">
        <f t="shared" si="0"/>
        <v>2240</v>
      </c>
      <c r="G10" s="1142"/>
      <c r="H10" s="176">
        <v>1.6</v>
      </c>
      <c r="I10" s="176">
        <v>1.46</v>
      </c>
      <c r="J10" s="176">
        <v>1.54</v>
      </c>
      <c r="K10" s="176">
        <f t="shared" si="1"/>
        <v>8058</v>
      </c>
      <c r="L10" s="177" t="s">
        <v>194</v>
      </c>
    </row>
    <row r="11" spans="1:12" x14ac:dyDescent="0.25">
      <c r="A11" s="1138" t="s">
        <v>198</v>
      </c>
      <c r="B11" s="1139"/>
      <c r="C11" s="1139"/>
      <c r="D11" s="1140"/>
      <c r="E11" s="175">
        <v>5</v>
      </c>
      <c r="F11" s="1141">
        <f t="shared" si="0"/>
        <v>2240</v>
      </c>
      <c r="G11" s="1142"/>
      <c r="H11" s="176">
        <v>1.6</v>
      </c>
      <c r="I11" s="176">
        <v>1.46</v>
      </c>
      <c r="J11" s="176">
        <v>1.54</v>
      </c>
      <c r="K11" s="176">
        <f t="shared" si="1"/>
        <v>8058</v>
      </c>
      <c r="L11" s="177" t="s">
        <v>194</v>
      </c>
    </row>
    <row r="12" spans="1:12" x14ac:dyDescent="0.25">
      <c r="A12" s="1138" t="s">
        <v>195</v>
      </c>
      <c r="B12" s="1139"/>
      <c r="C12" s="1139"/>
      <c r="D12" s="1140"/>
      <c r="E12" s="175">
        <v>5</v>
      </c>
      <c r="F12" s="1141">
        <f t="shared" si="0"/>
        <v>2240</v>
      </c>
      <c r="G12" s="1142"/>
      <c r="H12" s="176">
        <v>1.6</v>
      </c>
      <c r="I12" s="176">
        <v>1.46</v>
      </c>
      <c r="J12" s="176">
        <v>1.54</v>
      </c>
      <c r="K12" s="176">
        <f t="shared" si="1"/>
        <v>8058</v>
      </c>
      <c r="L12" s="177" t="s">
        <v>194</v>
      </c>
    </row>
    <row r="13" spans="1:12" hidden="1" x14ac:dyDescent="0.25">
      <c r="A13" s="1143" t="s">
        <v>199</v>
      </c>
      <c r="B13" s="741"/>
      <c r="C13" s="741"/>
      <c r="D13" s="741"/>
      <c r="E13" s="175"/>
      <c r="F13" s="1144"/>
      <c r="G13" s="1145"/>
      <c r="H13" s="176"/>
      <c r="I13" s="176"/>
      <c r="J13" s="176">
        <v>1</v>
      </c>
      <c r="K13" s="176">
        <f>F13*H13*I13*J13</f>
        <v>0</v>
      </c>
      <c r="L13" s="177" t="s">
        <v>200</v>
      </c>
    </row>
    <row r="14" spans="1:12" x14ac:dyDescent="0.25">
      <c r="A14" s="178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8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9" t="s">
        <v>203</v>
      </c>
      <c r="B16" s="179" t="s">
        <v>204</v>
      </c>
      <c r="C16" s="179" t="s">
        <v>205</v>
      </c>
      <c r="D16" s="179" t="s">
        <v>206</v>
      </c>
      <c r="E16" s="179" t="s">
        <v>207</v>
      </c>
      <c r="F16" s="179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25">
      <c r="A19" s="244" t="s">
        <v>946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25">
      <c r="A20" s="244" t="s">
        <v>282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25">
      <c r="A21" s="245" t="s">
        <v>283</v>
      </c>
      <c r="B21" s="245" t="s">
        <v>284</v>
      </c>
      <c r="C21" s="245" t="s">
        <v>285</v>
      </c>
      <c r="D21" s="245" t="s">
        <v>286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25">
      <c r="A22" s="246"/>
      <c r="B22" s="247"/>
      <c r="C22" s="248"/>
      <c r="D22" s="247">
        <f>B22*C22</f>
        <v>0</v>
      </c>
      <c r="E22" s="244"/>
      <c r="F22" s="244"/>
      <c r="G22" s="244"/>
      <c r="H22" s="244"/>
      <c r="I22" s="244"/>
      <c r="J22" s="244"/>
      <c r="K22" s="244"/>
      <c r="L22" s="244"/>
    </row>
    <row r="23" spans="1:12" x14ac:dyDescent="0.25">
      <c r="A23" s="246">
        <v>44013</v>
      </c>
      <c r="B23" s="247">
        <v>2197</v>
      </c>
      <c r="C23" s="248">
        <v>5</v>
      </c>
      <c r="D23" s="247">
        <f t="shared" ref="D23:D24" si="2">B23*C23</f>
        <v>10985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25">
      <c r="A24" s="246">
        <v>44166</v>
      </c>
      <c r="B24" s="247">
        <v>2270</v>
      </c>
      <c r="C24" s="248">
        <v>7</v>
      </c>
      <c r="D24" s="247">
        <f t="shared" si="2"/>
        <v>15890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25">
      <c r="A25" s="245"/>
      <c r="B25" s="245"/>
      <c r="C25" s="248">
        <f>SUM(C22:C24)</f>
        <v>12</v>
      </c>
      <c r="D25" s="247">
        <f>SUM(D22:D24)</f>
        <v>26875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25">
      <c r="A26" s="249" t="s">
        <v>287</v>
      </c>
      <c r="B26" s="249"/>
      <c r="C26" s="249"/>
      <c r="D26" s="250">
        <f>ROUND(D25/C25,0)</f>
        <v>2240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25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25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25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25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25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25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25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25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25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25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25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25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25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25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25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25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25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25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25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25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25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25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25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25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25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25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25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25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25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25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25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25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25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25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25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25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25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25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25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25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25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25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25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25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25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25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25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25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25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25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25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25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25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25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25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25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25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25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25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25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25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25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25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25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25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25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25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25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25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25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25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25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25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25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25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25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25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25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25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25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25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25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25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25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25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25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25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25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25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25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25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25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25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25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25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25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25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25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25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25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25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25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25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25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25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25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25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25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25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25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25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25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25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25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25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25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25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25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25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25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25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25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topLeftCell="A21" workbookViewId="0">
      <selection activeCell="A3" sqref="A3:XFD8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50"/>
      <c r="B1" s="1152" t="s">
        <v>155</v>
      </c>
      <c r="C1" s="1153"/>
      <c r="D1" s="1153"/>
      <c r="E1" s="151"/>
    </row>
    <row r="2" spans="1:5" x14ac:dyDescent="0.25">
      <c r="A2" s="150"/>
      <c r="B2" s="115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Дніпра7</v>
      </c>
      <c r="C2" s="1154"/>
      <c r="D2" s="1154"/>
      <c r="E2" s="1154"/>
    </row>
    <row r="3" spans="1:5" ht="45.6" hidden="1" customHeight="1" x14ac:dyDescent="0.25">
      <c r="A3" s="152">
        <v>1</v>
      </c>
      <c r="B3" s="1150" t="s">
        <v>156</v>
      </c>
      <c r="C3" s="1151"/>
      <c r="D3" s="153"/>
      <c r="E3" s="154" t="s">
        <v>157</v>
      </c>
    </row>
    <row r="4" spans="1:5" ht="53.45" hidden="1" customHeight="1" x14ac:dyDescent="0.25">
      <c r="A4" s="152">
        <v>2</v>
      </c>
      <c r="B4" s="1150" t="s">
        <v>158</v>
      </c>
      <c r="C4" s="1151"/>
      <c r="D4" s="153"/>
      <c r="E4" s="154" t="s">
        <v>157</v>
      </c>
    </row>
    <row r="5" spans="1:5" ht="30" hidden="1" customHeight="1" x14ac:dyDescent="0.25">
      <c r="A5" s="152">
        <v>3</v>
      </c>
      <c r="B5" s="1150" t="s">
        <v>159</v>
      </c>
      <c r="C5" s="1151"/>
      <c r="D5" s="153"/>
      <c r="E5" s="154" t="s">
        <v>157</v>
      </c>
    </row>
    <row r="6" spans="1:5" ht="57.6" hidden="1" customHeight="1" x14ac:dyDescent="0.25">
      <c r="A6" s="152">
        <v>4</v>
      </c>
      <c r="B6" s="1150" t="s">
        <v>160</v>
      </c>
      <c r="C6" s="1151"/>
      <c r="D6" s="153"/>
      <c r="E6" s="154" t="s">
        <v>157</v>
      </c>
    </row>
    <row r="7" spans="1:5" hidden="1" x14ac:dyDescent="0.25">
      <c r="A7" s="152">
        <v>6</v>
      </c>
      <c r="B7" s="1150" t="s">
        <v>161</v>
      </c>
      <c r="C7" s="1151"/>
      <c r="D7" s="153">
        <f>[1]Таблица_Характеристика!J26</f>
        <v>0</v>
      </c>
      <c r="E7" s="154" t="s">
        <v>157</v>
      </c>
    </row>
    <row r="8" spans="1:5" hidden="1" x14ac:dyDescent="0.25">
      <c r="A8" s="152">
        <v>7</v>
      </c>
      <c r="B8" s="1150" t="s">
        <v>162</v>
      </c>
      <c r="C8" s="1151"/>
      <c r="D8" s="153"/>
      <c r="E8" s="154" t="s">
        <v>157</v>
      </c>
    </row>
    <row r="9" spans="1:5" x14ac:dyDescent="0.25">
      <c r="A9" s="152">
        <v>8</v>
      </c>
      <c r="B9" s="1150" t="s">
        <v>181</v>
      </c>
      <c r="C9" s="1151"/>
      <c r="D9" s="153">
        <v>500</v>
      </c>
      <c r="E9" s="154" t="s">
        <v>157</v>
      </c>
    </row>
    <row r="10" spans="1:5" ht="27.6" customHeight="1" x14ac:dyDescent="0.25">
      <c r="A10" s="152">
        <v>9</v>
      </c>
      <c r="B10" s="1150" t="s">
        <v>163</v>
      </c>
      <c r="C10" s="1151"/>
      <c r="D10" s="153">
        <f>Характеристика!H44</f>
        <v>166</v>
      </c>
      <c r="E10" s="154" t="s">
        <v>157</v>
      </c>
    </row>
    <row r="11" spans="1:5" x14ac:dyDescent="0.25">
      <c r="A11" s="152">
        <v>10</v>
      </c>
      <c r="B11" s="1150" t="s">
        <v>165</v>
      </c>
      <c r="C11" s="1151"/>
      <c r="D11" s="155">
        <v>1100</v>
      </c>
      <c r="E11" s="154" t="s">
        <v>164</v>
      </c>
    </row>
    <row r="12" spans="1:5" x14ac:dyDescent="0.25">
      <c r="A12" s="152">
        <v>11</v>
      </c>
      <c r="B12" s="1150" t="s">
        <v>166</v>
      </c>
      <c r="C12" s="1151"/>
      <c r="D12" s="155">
        <v>5000</v>
      </c>
      <c r="E12" s="154" t="s">
        <v>164</v>
      </c>
    </row>
    <row r="13" spans="1:5" ht="28.15" customHeight="1" x14ac:dyDescent="0.25">
      <c r="A13" s="166">
        <v>12</v>
      </c>
      <c r="B13" s="1149" t="s">
        <v>167</v>
      </c>
      <c r="C13" s="1146"/>
      <c r="D13" s="156">
        <v>22</v>
      </c>
      <c r="E13" s="157" t="s">
        <v>168</v>
      </c>
    </row>
    <row r="14" spans="1:5" x14ac:dyDescent="0.25">
      <c r="A14" s="166">
        <v>13</v>
      </c>
      <c r="B14" s="158" t="s">
        <v>182</v>
      </c>
      <c r="C14" s="158"/>
      <c r="D14" s="156">
        <v>20</v>
      </c>
      <c r="E14" s="157" t="s">
        <v>168</v>
      </c>
    </row>
    <row r="15" spans="1:5" x14ac:dyDescent="0.25">
      <c r="A15" s="166">
        <v>14</v>
      </c>
      <c r="B15" s="159" t="s">
        <v>169</v>
      </c>
      <c r="C15" s="160"/>
      <c r="D15" s="156">
        <v>10</v>
      </c>
      <c r="E15" s="157" t="s">
        <v>168</v>
      </c>
    </row>
    <row r="16" spans="1:5" x14ac:dyDescent="0.25">
      <c r="A16" s="166">
        <v>15</v>
      </c>
      <c r="B16" s="1147" t="s">
        <v>170</v>
      </c>
      <c r="C16" s="1148"/>
      <c r="D16" s="161">
        <v>2020</v>
      </c>
      <c r="E16" s="157"/>
    </row>
    <row r="17" spans="1:5" x14ac:dyDescent="0.25">
      <c r="A17" s="166">
        <v>16</v>
      </c>
      <c r="B17" s="1147" t="s">
        <v>171</v>
      </c>
      <c r="C17" s="1148"/>
      <c r="D17" s="161">
        <v>251</v>
      </c>
      <c r="E17" s="157" t="s">
        <v>172</v>
      </c>
    </row>
    <row r="18" spans="1:5" x14ac:dyDescent="0.25">
      <c r="A18" s="166">
        <v>17</v>
      </c>
      <c r="B18" s="1147" t="s">
        <v>293</v>
      </c>
      <c r="C18" s="1148"/>
      <c r="D18" s="161">
        <v>303</v>
      </c>
      <c r="E18" s="157" t="s">
        <v>172</v>
      </c>
    </row>
    <row r="19" spans="1:5" x14ac:dyDescent="0.25">
      <c r="A19" s="166">
        <v>18</v>
      </c>
      <c r="B19" s="1147" t="s">
        <v>173</v>
      </c>
      <c r="C19" s="1148"/>
      <c r="D19" s="161">
        <v>2002</v>
      </c>
      <c r="E19" s="157" t="s">
        <v>174</v>
      </c>
    </row>
    <row r="20" spans="1:5" x14ac:dyDescent="0.25">
      <c r="A20" s="166">
        <v>19</v>
      </c>
      <c r="B20" s="1149" t="s">
        <v>175</v>
      </c>
      <c r="C20" s="1146"/>
      <c r="D20" s="156">
        <f>оклади!D26</f>
        <v>2240</v>
      </c>
      <c r="E20" s="157" t="s">
        <v>176</v>
      </c>
    </row>
    <row r="21" spans="1:5" x14ac:dyDescent="0.25">
      <c r="A21" s="166">
        <v>20</v>
      </c>
      <c r="B21" s="1149" t="s">
        <v>178</v>
      </c>
      <c r="C21" s="1146"/>
      <c r="D21" s="162">
        <v>0</v>
      </c>
      <c r="E21" s="157" t="s">
        <v>177</v>
      </c>
    </row>
    <row r="22" spans="1:5" x14ac:dyDescent="0.25">
      <c r="A22" s="166">
        <v>21</v>
      </c>
      <c r="B22" s="1149" t="s">
        <v>179</v>
      </c>
      <c r="C22" s="1146"/>
      <c r="D22" s="163">
        <f>Характеристика!L79</f>
        <v>1.4</v>
      </c>
      <c r="E22" s="157" t="s">
        <v>177</v>
      </c>
    </row>
    <row r="23" spans="1:5" x14ac:dyDescent="0.25">
      <c r="A23" s="166">
        <v>22</v>
      </c>
      <c r="B23" s="1146" t="s">
        <v>180</v>
      </c>
      <c r="C23" s="1146"/>
      <c r="D23" s="164">
        <v>326.37</v>
      </c>
      <c r="E23" s="165" t="s">
        <v>177</v>
      </c>
    </row>
    <row r="24" spans="1:5" x14ac:dyDescent="0.25">
      <c r="A24" s="166">
        <v>23</v>
      </c>
      <c r="B24" s="245" t="s">
        <v>740</v>
      </c>
      <c r="C24" s="245"/>
      <c r="D24" s="245">
        <v>290.17</v>
      </c>
      <c r="E24" s="157" t="s">
        <v>176</v>
      </c>
    </row>
    <row r="25" spans="1:5" x14ac:dyDescent="0.25">
      <c r="A25" s="166">
        <v>24</v>
      </c>
      <c r="B25" s="245" t="s">
        <v>899</v>
      </c>
      <c r="C25" s="245"/>
      <c r="D25" s="245">
        <v>0.75363559999999996</v>
      </c>
      <c r="E25" s="157" t="s">
        <v>176</v>
      </c>
    </row>
  </sheetData>
  <mergeCells count="21">
    <mergeCell ref="B18:C18"/>
    <mergeCell ref="B7:C7"/>
    <mergeCell ref="B8:C8"/>
    <mergeCell ref="B9:C9"/>
    <mergeCell ref="B10:C10"/>
    <mergeCell ref="B17:C17"/>
    <mergeCell ref="B1:D1"/>
    <mergeCell ref="B2:E2"/>
    <mergeCell ref="B3:C3"/>
    <mergeCell ref="B4:C4"/>
    <mergeCell ref="B5:C5"/>
    <mergeCell ref="B6:C6"/>
    <mergeCell ref="B11:C11"/>
    <mergeCell ref="B12:C12"/>
    <mergeCell ref="B13:C13"/>
    <mergeCell ref="B16:C16"/>
    <mergeCell ref="B23:C23"/>
    <mergeCell ref="B19:C19"/>
    <mergeCell ref="B20:C20"/>
    <mergeCell ref="B21:C21"/>
    <mergeCell ref="B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view="pageBreakPreview" topLeftCell="A22" zoomScale="60" zoomScaleNormal="100" workbookViewId="0">
      <selection activeCell="A29" sqref="A29:E30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4.7109375" style="1" customWidth="1"/>
    <col min="5" max="21" width="7.28515625" style="1" customWidth="1"/>
    <col min="22" max="25" width="8.85546875" style="2"/>
  </cols>
  <sheetData>
    <row r="1" spans="1:25" x14ac:dyDescent="0.25">
      <c r="D1" s="661" t="s">
        <v>952</v>
      </c>
      <c r="E1" s="661"/>
      <c r="F1" s="415"/>
    </row>
    <row r="2" spans="1:25" x14ac:dyDescent="0.25">
      <c r="D2" s="417" t="s">
        <v>953</v>
      </c>
      <c r="E2" s="415"/>
      <c r="F2" s="415"/>
    </row>
    <row r="3" spans="1:25" x14ac:dyDescent="0.25">
      <c r="D3" s="661" t="s">
        <v>954</v>
      </c>
      <c r="E3" s="415"/>
      <c r="F3" s="415"/>
    </row>
    <row r="4" spans="1:25" x14ac:dyDescent="0.25">
      <c r="D4" s="661"/>
      <c r="E4" s="415"/>
      <c r="F4" s="415"/>
    </row>
    <row r="5" spans="1:25" ht="54" customHeight="1" x14ac:dyDescent="0.25">
      <c r="A5" s="1158" t="s">
        <v>956</v>
      </c>
      <c r="B5" s="1158"/>
      <c r="C5" s="1158"/>
      <c r="D5" s="1158"/>
    </row>
    <row r="6" spans="1:25" x14ac:dyDescent="0.25">
      <c r="A6" s="251" t="str">
        <f>Характеристика!A6</f>
        <v>Адреса</v>
      </c>
      <c r="B6" s="416" t="str">
        <f>CONCATENATE(Характеристика!B6,  Характеристика!E6,Характеристика!L6)</f>
        <v>м. КанівГероїв Дніпра7</v>
      </c>
      <c r="C6" s="416"/>
    </row>
    <row r="7" spans="1:25" ht="98.25" customHeight="1" x14ac:dyDescent="0.25">
      <c r="A7" s="4" t="s">
        <v>12</v>
      </c>
      <c r="B7" s="418" t="s">
        <v>905</v>
      </c>
      <c r="C7" s="4" t="s">
        <v>906</v>
      </c>
      <c r="D7" s="4" t="s">
        <v>907</v>
      </c>
    </row>
    <row r="8" spans="1:25" s="420" customFormat="1" ht="68.45" customHeight="1" x14ac:dyDescent="0.25">
      <c r="A8" s="6">
        <v>1</v>
      </c>
      <c r="B8" s="418" t="s">
        <v>908</v>
      </c>
      <c r="C8" s="662">
        <f>'ТО внутріньобудин'!H16</f>
        <v>66480.032407384133</v>
      </c>
      <c r="D8" s="663">
        <f>'ТО внутріньобудин'!K18</f>
        <v>1.8581883345459667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9"/>
      <c r="W8" s="419"/>
      <c r="X8" s="419"/>
      <c r="Y8" s="419"/>
    </row>
    <row r="9" spans="1:25" s="420" customFormat="1" x14ac:dyDescent="0.25">
      <c r="A9" s="6">
        <v>2</v>
      </c>
      <c r="B9" s="5" t="s">
        <v>0</v>
      </c>
      <c r="C9" s="664">
        <f>ліфти!I13</f>
        <v>0</v>
      </c>
      <c r="D9" s="407">
        <f>ліфти!I15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9"/>
      <c r="W9" s="419"/>
      <c r="X9" s="419"/>
      <c r="Y9" s="419"/>
    </row>
    <row r="10" spans="1:25" s="420" customFormat="1" x14ac:dyDescent="0.25">
      <c r="A10" s="6">
        <v>3</v>
      </c>
      <c r="B10" s="421" t="s">
        <v>1</v>
      </c>
      <c r="C10" s="665">
        <f>диспетчериз!G15</f>
        <v>0</v>
      </c>
      <c r="D10" s="407">
        <f>U21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9"/>
      <c r="W10" s="419"/>
      <c r="X10" s="419"/>
      <c r="Y10" s="419"/>
    </row>
    <row r="11" spans="1:25" s="420" customFormat="1" ht="17.45" customHeight="1" x14ac:dyDescent="0.25">
      <c r="A11" s="6">
        <v>4</v>
      </c>
      <c r="B11" s="421" t="s">
        <v>936</v>
      </c>
      <c r="C11" s="665">
        <f>вентканали!F23</f>
        <v>3331.3412254402851</v>
      </c>
      <c r="D11" s="407">
        <f>вентканали!F25</f>
        <v>9.3114566574995117E-2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9"/>
      <c r="W11" s="419"/>
      <c r="X11" s="419"/>
      <c r="Y11" s="419"/>
    </row>
    <row r="12" spans="1:25" s="420" customFormat="1" ht="65.45" customHeight="1" x14ac:dyDescent="0.25">
      <c r="A12" s="6">
        <v>5</v>
      </c>
      <c r="B12" s="421" t="s">
        <v>761</v>
      </c>
      <c r="C12" s="665">
        <v>0</v>
      </c>
      <c r="D12" s="407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9"/>
      <c r="W12" s="419"/>
      <c r="X12" s="419"/>
      <c r="Y12" s="419"/>
    </row>
    <row r="13" spans="1:25" s="420" customFormat="1" ht="148.5" customHeight="1" x14ac:dyDescent="0.25">
      <c r="A13" s="6">
        <v>6</v>
      </c>
      <c r="B13" s="421" t="s">
        <v>950</v>
      </c>
      <c r="C13" s="665">
        <f>'поточ рем. констр.ел '!H15</f>
        <v>48776.887538524767</v>
      </c>
      <c r="D13" s="407">
        <f>'поточ рем. констр.ел '!H17</f>
        <v>1.3633652964637635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9"/>
      <c r="W13" s="419"/>
      <c r="X13" s="419"/>
      <c r="Y13" s="419"/>
    </row>
    <row r="14" spans="1:25" s="420" customFormat="1" ht="129.75" customHeight="1" x14ac:dyDescent="0.25">
      <c r="A14" s="6">
        <v>7</v>
      </c>
      <c r="B14" s="425" t="s">
        <v>951</v>
      </c>
      <c r="C14" s="662">
        <f>'поточ рем. внутр.б.мереж'!H15</f>
        <v>30335.29455474217</v>
      </c>
      <c r="D14" s="407">
        <f>'поточ рем. внутр.б.мереж'!H17</f>
        <v>0.84790519428071165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9"/>
      <c r="W14" s="419"/>
      <c r="X14" s="419"/>
      <c r="Y14" s="419"/>
    </row>
    <row r="15" spans="1:25" s="420" customFormat="1" ht="55.15" customHeight="1" x14ac:dyDescent="0.25">
      <c r="A15" s="6">
        <v>8</v>
      </c>
      <c r="B15" s="418" t="s">
        <v>3</v>
      </c>
      <c r="C15" s="662">
        <v>0</v>
      </c>
      <c r="D15" s="407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9"/>
      <c r="W15" s="419"/>
      <c r="X15" s="419"/>
      <c r="Y15" s="419"/>
    </row>
    <row r="16" spans="1:25" s="424" customFormat="1" ht="23.45" customHeight="1" x14ac:dyDescent="0.25">
      <c r="A16" s="6">
        <v>9</v>
      </c>
      <c r="B16" s="418" t="s">
        <v>4</v>
      </c>
      <c r="C16" s="662">
        <f>прибирання!G16</f>
        <v>51571.898273591883</v>
      </c>
      <c r="D16" s="422">
        <f>прибирання!G18</f>
        <v>1.4410000000000001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409"/>
      <c r="V16" s="423"/>
      <c r="W16" s="423"/>
      <c r="X16" s="423"/>
      <c r="Y16" s="423"/>
    </row>
    <row r="17" spans="1:25" s="420" customFormat="1" ht="30.6" customHeight="1" x14ac:dyDescent="0.25">
      <c r="A17" s="6">
        <v>10</v>
      </c>
      <c r="B17" s="421" t="s">
        <v>5</v>
      </c>
      <c r="C17" s="665">
        <f>сход.клітки!G16</f>
        <v>0</v>
      </c>
      <c r="D17" s="407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9"/>
      <c r="W17" s="419"/>
      <c r="X17" s="419"/>
      <c r="Y17" s="419"/>
    </row>
    <row r="18" spans="1:25" s="420" customFormat="1" ht="49.9" customHeight="1" x14ac:dyDescent="0.25">
      <c r="A18" s="6">
        <v>11</v>
      </c>
      <c r="B18" s="421" t="s">
        <v>920</v>
      </c>
      <c r="C18" s="665">
        <f>Сніг!G23</f>
        <v>4881.7870904462325</v>
      </c>
      <c r="D18" s="407">
        <f>Сніг!G25</f>
        <v>0.13645119436188347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9"/>
      <c r="W18" s="419"/>
      <c r="X18" s="419"/>
      <c r="Y18" s="419"/>
    </row>
    <row r="19" spans="1:25" s="420" customFormat="1" x14ac:dyDescent="0.25">
      <c r="A19" s="6">
        <v>12</v>
      </c>
      <c r="B19" s="5" t="s">
        <v>6</v>
      </c>
      <c r="C19" s="664">
        <f>дератизація!F13</f>
        <v>790.41755661278523</v>
      </c>
      <c r="D19" s="407">
        <f>дератизація!F15</f>
        <v>2.2093019963014725E-2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9"/>
      <c r="W19" s="419"/>
      <c r="X19" s="419"/>
      <c r="Y19" s="419"/>
    </row>
    <row r="20" spans="1:25" s="420" customFormat="1" x14ac:dyDescent="0.25">
      <c r="A20" s="6">
        <v>13</v>
      </c>
      <c r="B20" s="5" t="s">
        <v>7</v>
      </c>
      <c r="C20" s="664">
        <v>0</v>
      </c>
      <c r="D20" s="40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9"/>
      <c r="W20" s="419"/>
      <c r="X20" s="419"/>
      <c r="Y20" s="419"/>
    </row>
    <row r="21" spans="1:25" s="420" customFormat="1" ht="64.150000000000006" customHeight="1" x14ac:dyDescent="0.25">
      <c r="A21" s="6">
        <v>14</v>
      </c>
      <c r="B21" s="421" t="s">
        <v>8</v>
      </c>
      <c r="C21" s="665">
        <f>освітлення!K13</f>
        <v>2882.2668110903423</v>
      </c>
      <c r="D21" s="407">
        <f>освітлення!K15</f>
        <v>8.0562454190714158E-2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9"/>
      <c r="W21" s="419"/>
      <c r="X21" s="419"/>
      <c r="Y21" s="419"/>
    </row>
    <row r="22" spans="1:25" s="12" customFormat="1" x14ac:dyDescent="0.25">
      <c r="A22" s="7">
        <v>15</v>
      </c>
      <c r="B22" s="9" t="s">
        <v>9</v>
      </c>
      <c r="C22" s="666">
        <f>ROUND((C8+C9+C10+C11+C12+C13+C14+C15+C16+C17+C18+C19+C20+C21)*розрахунок!D15/100,2)</f>
        <v>20904.990000000002</v>
      </c>
      <c r="D22" s="408">
        <f>ROUND((D8+D9+D10+D11+D12+D13+D14+D15+D16+D17+D18+D19+D20+D21)*розрахунок!D15/100,3)</f>
        <v>0.58399999999999996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10</v>
      </c>
      <c r="C23" s="9">
        <f>ROUND((C8+C9+C10+C11+C12+C13+C14+C15+C16+C17+C18+C19+C20+C21+C22)*0.2,2)</f>
        <v>45990.98</v>
      </c>
      <c r="D23" s="408">
        <f>ROUND((D8+D9+D10+D11+D12+D13+D14+D15+D16+D17+D18+D19+D20+D21+D22)*розрахунок!D14/100,3)</f>
        <v>1.2849999999999999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11</v>
      </c>
      <c r="C24" s="667">
        <f>C8+C9+C10+C11+C12+C13+C14+C15+C16+C17+C18+C19+C20+C21+C22+C23</f>
        <v>275945.89545783261</v>
      </c>
      <c r="D24" s="666">
        <f>D23+D22+D21+D20+D19+D18+D17+D16+D15+D14+D13+D12+D11+D10+D9+D8</f>
        <v>7.7116800603810489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60"/>
      <c r="B25" s="1160"/>
      <c r="C25" s="1160"/>
      <c r="D25" s="1160"/>
    </row>
    <row r="26" spans="1:25" x14ac:dyDescent="0.25">
      <c r="A26" s="1161" t="s">
        <v>955</v>
      </c>
      <c r="B26" s="1161"/>
      <c r="C26" s="1161"/>
      <c r="D26" s="1161"/>
    </row>
    <row r="27" spans="1:25" x14ac:dyDescent="0.25">
      <c r="A27" s="1161"/>
      <c r="B27" s="1161"/>
      <c r="C27" s="1161"/>
      <c r="D27" s="1161"/>
    </row>
    <row r="28" spans="1:25" x14ac:dyDescent="0.25">
      <c r="A28" s="668"/>
      <c r="B28" s="668"/>
      <c r="C28" s="668"/>
      <c r="D28" s="668"/>
    </row>
    <row r="29" spans="1:25" ht="15.75" customHeight="1" x14ac:dyDescent="0.25">
      <c r="A29" s="1571" t="s">
        <v>957</v>
      </c>
      <c r="B29" s="1572"/>
      <c r="C29" s="1572"/>
      <c r="D29" s="1572"/>
      <c r="E29" s="1572"/>
    </row>
    <row r="30" spans="1:25" ht="51" customHeight="1" x14ac:dyDescent="0.25">
      <c r="A30" s="1572"/>
      <c r="B30" s="1572"/>
      <c r="C30" s="1572"/>
      <c r="D30" s="1572"/>
      <c r="E30" s="1572"/>
    </row>
    <row r="31" spans="1:25" ht="125.45" customHeight="1" x14ac:dyDescent="0.25">
      <c r="A31" s="1157" t="s">
        <v>480</v>
      </c>
      <c r="B31" s="1159"/>
      <c r="C31" s="1159"/>
      <c r="D31" s="1159"/>
    </row>
    <row r="32" spans="1:25" ht="195" customHeight="1" x14ac:dyDescent="0.25">
      <c r="A32" s="1155" t="s">
        <v>289</v>
      </c>
      <c r="B32" s="1156"/>
      <c r="C32" s="1156"/>
      <c r="D32" s="1156"/>
    </row>
    <row r="33" spans="1:4" ht="109.15" customHeight="1" x14ac:dyDescent="0.25">
      <c r="A33" s="1157" t="s">
        <v>290</v>
      </c>
      <c r="B33" s="1157"/>
      <c r="C33" s="1157"/>
      <c r="D33" s="1157"/>
    </row>
  </sheetData>
  <mergeCells count="8">
    <mergeCell ref="A32:D32"/>
    <mergeCell ref="A33:D33"/>
    <mergeCell ref="A5:D5"/>
    <mergeCell ref="A31:D31"/>
    <mergeCell ref="A25:D25"/>
    <mergeCell ref="A26:D26"/>
    <mergeCell ref="A27:D27"/>
    <mergeCell ref="A29:E3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27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31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1.5703125" customWidth="1"/>
  </cols>
  <sheetData>
    <row r="1" spans="1:10" x14ac:dyDescent="0.25">
      <c r="A1" s="1165" t="str">
        <f>CONCATENATE(кошторис!B6)</f>
        <v>м. КанівГероїв Дніпра7</v>
      </c>
      <c r="B1" s="1166"/>
      <c r="C1" s="1166"/>
      <c r="D1" s="926"/>
      <c r="E1" s="926"/>
      <c r="F1" s="181"/>
      <c r="G1" s="1167" t="s">
        <v>209</v>
      </c>
      <c r="H1" s="1167"/>
      <c r="I1" s="1167"/>
      <c r="J1" s="1167"/>
    </row>
    <row r="2" spans="1:10" x14ac:dyDescent="0.25">
      <c r="A2" s="181"/>
      <c r="B2" s="181"/>
      <c r="C2" s="181"/>
      <c r="D2" s="181"/>
      <c r="E2" s="181"/>
      <c r="F2" s="181"/>
      <c r="G2" s="1167" t="s">
        <v>914</v>
      </c>
      <c r="H2" s="1167"/>
      <c r="I2" s="1167"/>
      <c r="J2" s="1167"/>
    </row>
    <row r="3" spans="1:10" x14ac:dyDescent="0.25">
      <c r="A3" s="181"/>
      <c r="B3" s="181"/>
      <c r="C3" s="181"/>
      <c r="D3" s="181"/>
      <c r="E3" s="181"/>
      <c r="F3" s="1171" t="s">
        <v>915</v>
      </c>
      <c r="G3" s="1171"/>
      <c r="H3" s="1171"/>
      <c r="I3" s="1171"/>
      <c r="J3" s="1171"/>
    </row>
    <row r="4" spans="1:10" x14ac:dyDescent="0.25">
      <c r="A4" s="181"/>
      <c r="B4" s="181"/>
      <c r="C4" s="181"/>
      <c r="D4" s="181"/>
      <c r="E4" s="181"/>
      <c r="F4" s="181"/>
      <c r="G4" s="252"/>
      <c r="H4" s="253"/>
      <c r="I4" s="1168" t="s">
        <v>288</v>
      </c>
      <c r="J4" s="1168"/>
    </row>
    <row r="5" spans="1:10" x14ac:dyDescent="0.25">
      <c r="A5" s="181"/>
      <c r="B5" s="181"/>
      <c r="C5" s="181"/>
      <c r="D5" s="181"/>
      <c r="E5" s="181"/>
      <c r="F5" s="181"/>
      <c r="G5" s="1167"/>
      <c r="H5" s="1167"/>
      <c r="I5" s="1167"/>
      <c r="J5" s="1167"/>
    </row>
    <row r="6" spans="1:10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0" x14ac:dyDescent="0.25">
      <c r="A7" s="1169" t="s">
        <v>210</v>
      </c>
      <c r="B7" s="1169"/>
      <c r="C7" s="1169"/>
      <c r="D7" s="1169"/>
      <c r="E7" s="1169"/>
      <c r="F7" s="1169"/>
      <c r="G7" s="1169"/>
      <c r="H7" s="1169"/>
      <c r="I7" s="1169"/>
      <c r="J7" s="1169"/>
    </row>
    <row r="8" spans="1:10" x14ac:dyDescent="0.25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45" customHeight="1" x14ac:dyDescent="0.25">
      <c r="A9" s="1170" t="s">
        <v>291</v>
      </c>
      <c r="B9" s="1170"/>
      <c r="C9" s="1170"/>
      <c r="D9" s="1170"/>
      <c r="E9" s="1170"/>
      <c r="F9" s="1170"/>
      <c r="G9" s="1170"/>
      <c r="H9" s="1170"/>
      <c r="I9" s="1170"/>
      <c r="J9" s="1170"/>
    </row>
    <row r="10" spans="1:10" ht="25.5" x14ac:dyDescent="0.25">
      <c r="A10" s="184" t="s">
        <v>211</v>
      </c>
      <c r="B10" s="1162" t="s">
        <v>212</v>
      </c>
      <c r="C10" s="1163"/>
      <c r="D10" s="1163"/>
      <c r="E10" s="1163"/>
      <c r="F10" s="184" t="s">
        <v>213</v>
      </c>
      <c r="G10" s="1162" t="s">
        <v>214</v>
      </c>
      <c r="H10" s="1163"/>
      <c r="I10" s="1162" t="s">
        <v>215</v>
      </c>
      <c r="J10" s="1164"/>
    </row>
    <row r="11" spans="1:10" x14ac:dyDescent="0.25">
      <c r="A11" s="184">
        <v>1</v>
      </c>
      <c r="B11" s="1172" t="s">
        <v>295</v>
      </c>
      <c r="C11" s="1151"/>
      <c r="D11" s="1151"/>
      <c r="E11" s="1151"/>
      <c r="F11" s="261" t="s">
        <v>177</v>
      </c>
      <c r="G11" s="1174">
        <f>I11*12</f>
        <v>24901.182362880005</v>
      </c>
      <c r="H11" s="1175"/>
      <c r="I11" s="1174">
        <f>I43+I44</f>
        <v>2075.0985302400004</v>
      </c>
      <c r="J11" s="1176"/>
    </row>
    <row r="12" spans="1:10" ht="28.15" customHeight="1" x14ac:dyDescent="0.25">
      <c r="A12" s="184">
        <v>2</v>
      </c>
      <c r="B12" s="1177" t="s">
        <v>296</v>
      </c>
      <c r="C12" s="1178"/>
      <c r="D12" s="1178"/>
      <c r="E12" s="1178"/>
      <c r="F12" s="261" t="s">
        <v>177</v>
      </c>
      <c r="G12" s="1174">
        <f>I12*12</f>
        <v>5478.24</v>
      </c>
      <c r="H12" s="1175"/>
      <c r="I12" s="1174">
        <f>ROUND(I11*розрахунок!D13/100,2)</f>
        <v>456.52</v>
      </c>
      <c r="J12" s="1176"/>
    </row>
    <row r="13" spans="1:10" x14ac:dyDescent="0.25">
      <c r="A13" s="184">
        <v>3</v>
      </c>
      <c r="B13" s="1172" t="s">
        <v>297</v>
      </c>
      <c r="C13" s="1173"/>
      <c r="D13" s="1173"/>
      <c r="E13" s="1173"/>
      <c r="F13" s="261" t="s">
        <v>177</v>
      </c>
      <c r="G13" s="1174">
        <f>I13*12</f>
        <v>19736.974462438029</v>
      </c>
      <c r="H13" s="1175"/>
      <c r="I13" s="1174">
        <f>I51</f>
        <v>1644.7478718698358</v>
      </c>
      <c r="J13" s="1176"/>
    </row>
    <row r="14" spans="1:10" x14ac:dyDescent="0.25">
      <c r="A14" s="184">
        <v>4</v>
      </c>
      <c r="B14" s="1172" t="s">
        <v>481</v>
      </c>
      <c r="C14" s="1173"/>
      <c r="D14" s="1173"/>
      <c r="E14" s="1173"/>
      <c r="F14" s="261" t="s">
        <v>177</v>
      </c>
      <c r="G14" s="1174">
        <f>I14*12</f>
        <v>1455.5014482738463</v>
      </c>
      <c r="H14" s="1175"/>
      <c r="I14" s="1174">
        <f>інвентар!I7+інвентар!I12</f>
        <v>121.29178735615386</v>
      </c>
      <c r="J14" s="1176"/>
    </row>
    <row r="15" spans="1:10" x14ac:dyDescent="0.25">
      <c r="A15" s="184">
        <v>5</v>
      </c>
      <c r="B15" s="1172" t="s">
        <v>482</v>
      </c>
      <c r="C15" s="1173"/>
      <c r="D15" s="1173"/>
      <c r="E15" s="1173"/>
      <c r="F15" s="261" t="s">
        <v>177</v>
      </c>
      <c r="G15" s="1174">
        <f>I15*12</f>
        <v>0</v>
      </c>
      <c r="H15" s="1175"/>
      <c r="I15" s="1179">
        <f>Характеристика!D9/12</f>
        <v>0</v>
      </c>
      <c r="J15" s="1180"/>
    </row>
    <row r="16" spans="1:10" x14ac:dyDescent="0.25">
      <c r="A16" s="184">
        <v>6</v>
      </c>
      <c r="B16" s="1181" t="s">
        <v>216</v>
      </c>
      <c r="C16" s="1182"/>
      <c r="D16" s="1182"/>
      <c r="E16" s="1182"/>
      <c r="F16" s="184" t="s">
        <v>177</v>
      </c>
      <c r="G16" s="1183">
        <f>SUM(G11:G15)</f>
        <v>51571.898273591883</v>
      </c>
      <c r="H16" s="1184"/>
      <c r="I16" s="1183">
        <f>SUM(I11:I15)</f>
        <v>4297.6581894659894</v>
      </c>
      <c r="J16" s="1185"/>
    </row>
    <row r="17" spans="1:10" ht="22.9" customHeight="1" x14ac:dyDescent="0.25">
      <c r="A17" s="184">
        <v>7</v>
      </c>
      <c r="B17" s="1186" t="str">
        <f>Характеристика!A18</f>
        <v>Загальна площа будинку</v>
      </c>
      <c r="C17" s="1187"/>
      <c r="D17" s="1187"/>
      <c r="E17" s="1187"/>
      <c r="F17" s="184" t="s">
        <v>218</v>
      </c>
      <c r="G17" s="1188">
        <f>Характеристика!N18</f>
        <v>2981.4</v>
      </c>
      <c r="H17" s="1189"/>
      <c r="I17" s="1189"/>
      <c r="J17" s="1190"/>
    </row>
    <row r="18" spans="1:10" x14ac:dyDescent="0.25">
      <c r="A18" s="184">
        <v>8</v>
      </c>
      <c r="B18" s="1181" t="s">
        <v>483</v>
      </c>
      <c r="C18" s="1163"/>
      <c r="D18" s="1163"/>
      <c r="E18" s="1163"/>
      <c r="F18" s="184" t="s">
        <v>177</v>
      </c>
      <c r="G18" s="1191">
        <f>ROUND(I16/G17,3)</f>
        <v>1.4410000000000001</v>
      </c>
      <c r="H18" s="1192"/>
      <c r="I18" s="1193"/>
      <c r="J18" s="1194"/>
    </row>
    <row r="19" spans="1:10" x14ac:dyDescent="0.25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25">
      <c r="A20" s="183" t="s">
        <v>219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25">
      <c r="A21" s="1195" t="s">
        <v>220</v>
      </c>
      <c r="B21" s="1195"/>
      <c r="C21" s="1195"/>
      <c r="D21" s="1195"/>
      <c r="E21" s="1195"/>
      <c r="F21" s="1195"/>
      <c r="G21" s="1195"/>
      <c r="H21" s="1195"/>
      <c r="I21" s="1195"/>
      <c r="J21" s="1195"/>
    </row>
    <row r="22" spans="1:10" ht="23.45" customHeight="1" x14ac:dyDescent="0.25">
      <c r="A22" s="1196" t="s">
        <v>281</v>
      </c>
      <c r="B22" s="1197"/>
      <c r="C22" s="1197"/>
      <c r="D22" s="1197"/>
      <c r="E22" s="1197"/>
      <c r="F22" s="1197"/>
      <c r="G22" s="1197"/>
      <c r="H22" s="1197"/>
      <c r="I22" s="1197"/>
      <c r="J22" s="1197"/>
    </row>
    <row r="23" spans="1:10" x14ac:dyDescent="0.25">
      <c r="A23" s="1212" t="s">
        <v>265</v>
      </c>
      <c r="B23" s="1213"/>
      <c r="C23" s="1213"/>
      <c r="D23" s="1213"/>
      <c r="E23" s="1214" t="s">
        <v>221</v>
      </c>
      <c r="F23" s="1214"/>
      <c r="G23" s="189">
        <f>розрахунок!D18</f>
        <v>303</v>
      </c>
      <c r="H23" s="1214" t="s">
        <v>222</v>
      </c>
      <c r="I23" s="1214"/>
      <c r="J23" s="189">
        <f>розрахунок!D19</f>
        <v>2002</v>
      </c>
    </row>
    <row r="24" spans="1:10" x14ac:dyDescent="0.25">
      <c r="A24" s="190" t="s">
        <v>223</v>
      </c>
      <c r="B24" s="1215" t="s">
        <v>224</v>
      </c>
      <c r="C24" s="1215"/>
      <c r="D24" s="1215"/>
      <c r="E24" s="1215"/>
      <c r="F24" s="1215"/>
      <c r="G24" s="191"/>
      <c r="H24" s="191"/>
      <c r="I24" s="191"/>
      <c r="J24" s="192"/>
    </row>
    <row r="25" spans="1:10" ht="123.75" x14ac:dyDescent="0.25">
      <c r="A25" s="193" t="s">
        <v>225</v>
      </c>
      <c r="B25" s="1216" t="s">
        <v>226</v>
      </c>
      <c r="C25" s="1217"/>
      <c r="D25" s="194" t="s">
        <v>227</v>
      </c>
      <c r="E25" s="195" t="s">
        <v>228</v>
      </c>
      <c r="F25" s="1218" t="s">
        <v>229</v>
      </c>
      <c r="G25" s="1217"/>
      <c r="H25" s="196" t="s">
        <v>230</v>
      </c>
      <c r="I25" s="197" t="s">
        <v>231</v>
      </c>
      <c r="J25" s="197" t="s">
        <v>232</v>
      </c>
    </row>
    <row r="26" spans="1:10" x14ac:dyDescent="0.25">
      <c r="A26" s="198">
        <v>1</v>
      </c>
      <c r="B26" s="1205">
        <v>2</v>
      </c>
      <c r="C26" s="1206"/>
      <c r="D26" s="199">
        <v>3</v>
      </c>
      <c r="E26" s="199">
        <v>4</v>
      </c>
      <c r="F26" s="1207">
        <v>5</v>
      </c>
      <c r="G26" s="1208"/>
      <c r="H26" s="199">
        <v>6</v>
      </c>
      <c r="I26" s="199">
        <v>7</v>
      </c>
      <c r="J26" s="199">
        <v>8</v>
      </c>
    </row>
    <row r="27" spans="1:10" x14ac:dyDescent="0.25">
      <c r="A27" s="200" t="s">
        <v>98</v>
      </c>
      <c r="B27" s="1198" t="s">
        <v>233</v>
      </c>
      <c r="C27" s="1209"/>
      <c r="D27" s="1199"/>
      <c r="E27" s="1199"/>
      <c r="F27" s="1199"/>
      <c r="G27" s="1199"/>
      <c r="H27" s="1199"/>
      <c r="I27" s="1199"/>
      <c r="J27" s="1200"/>
    </row>
    <row r="28" spans="1:10" s="258" customFormat="1" ht="25.9" customHeight="1" x14ac:dyDescent="0.25">
      <c r="A28" s="200"/>
      <c r="B28" s="1201" t="s">
        <v>294</v>
      </c>
      <c r="C28" s="1210"/>
      <c r="D28" s="254">
        <f>Характеристика!H41</f>
        <v>635</v>
      </c>
      <c r="E28" s="255">
        <v>282</v>
      </c>
      <c r="F28" s="1211">
        <v>0.2</v>
      </c>
      <c r="G28" s="1180"/>
      <c r="H28" s="254">
        <f t="shared" ref="H28" si="0">(D28/100)*F28*E28</f>
        <v>358.14</v>
      </c>
      <c r="I28" s="256">
        <v>21</v>
      </c>
      <c r="J28" s="257" t="s">
        <v>234</v>
      </c>
    </row>
    <row r="29" spans="1:10" x14ac:dyDescent="0.25">
      <c r="A29" s="200" t="s">
        <v>235</v>
      </c>
      <c r="B29" s="1198" t="s">
        <v>245</v>
      </c>
      <c r="C29" s="1199"/>
      <c r="D29" s="1199"/>
      <c r="E29" s="1199"/>
      <c r="F29" s="1199"/>
      <c r="G29" s="1200"/>
      <c r="H29" s="205"/>
      <c r="I29" s="206"/>
      <c r="J29" s="207"/>
    </row>
    <row r="30" spans="1:10" x14ac:dyDescent="0.25">
      <c r="A30" s="200"/>
      <c r="B30" s="1201" t="s">
        <v>246</v>
      </c>
      <c r="C30" s="1202"/>
      <c r="D30" s="208"/>
      <c r="E30" s="209"/>
      <c r="F30" s="1203">
        <v>0.28000000000000003</v>
      </c>
      <c r="G30" s="1204"/>
      <c r="H30" s="201">
        <f>D30/100*F30*E30</f>
        <v>0</v>
      </c>
      <c r="I30" s="210" t="s">
        <v>247</v>
      </c>
      <c r="J30" s="211" t="s">
        <v>248</v>
      </c>
    </row>
    <row r="31" spans="1:10" x14ac:dyDescent="0.25">
      <c r="A31" s="200"/>
      <c r="B31" s="1201" t="s">
        <v>249</v>
      </c>
      <c r="C31" s="1202"/>
      <c r="D31" s="208">
        <f>Характеристика!L49</f>
        <v>3993</v>
      </c>
      <c r="E31" s="209">
        <v>2</v>
      </c>
      <c r="F31" s="1203">
        <v>0.42</v>
      </c>
      <c r="G31" s="1204"/>
      <c r="H31" s="201">
        <f>D31/100*F31*E31</f>
        <v>33.541199999999996</v>
      </c>
      <c r="I31" s="210" t="s">
        <v>247</v>
      </c>
      <c r="J31" s="211"/>
    </row>
    <row r="32" spans="1:10" x14ac:dyDescent="0.25">
      <c r="A32" s="200" t="s">
        <v>239</v>
      </c>
      <c r="B32" s="1219" t="s">
        <v>250</v>
      </c>
      <c r="C32" s="1151"/>
      <c r="D32" s="1151"/>
      <c r="E32" s="1151"/>
      <c r="F32" s="1151"/>
      <c r="G32" s="1151"/>
      <c r="H32" s="212"/>
      <c r="I32" s="212"/>
      <c r="J32" s="212"/>
    </row>
    <row r="33" spans="1:10" ht="23.45" customHeight="1" x14ac:dyDescent="0.25">
      <c r="A33" s="213"/>
      <c r="B33" s="1228" t="s">
        <v>251</v>
      </c>
      <c r="C33" s="1229"/>
      <c r="D33" s="201">
        <f>Характеристика!H47</f>
        <v>4088</v>
      </c>
      <c r="E33" s="202">
        <v>52</v>
      </c>
      <c r="F33" s="1203">
        <v>0.13</v>
      </c>
      <c r="G33" s="1230"/>
      <c r="H33" s="201">
        <f>D33/100*F33*E33</f>
        <v>276.34880000000004</v>
      </c>
      <c r="I33" s="203">
        <v>34</v>
      </c>
      <c r="J33" s="204" t="s">
        <v>252</v>
      </c>
    </row>
    <row r="34" spans="1:10" s="260" customFormat="1" ht="45.6" customHeight="1" x14ac:dyDescent="0.25">
      <c r="A34" s="259" t="s">
        <v>240</v>
      </c>
      <c r="B34" s="1231" t="s">
        <v>253</v>
      </c>
      <c r="C34" s="1232"/>
      <c r="D34" s="254">
        <f>Характеристика!N50</f>
        <v>9</v>
      </c>
      <c r="E34" s="255">
        <v>1</v>
      </c>
      <c r="F34" s="1211">
        <v>3.8</v>
      </c>
      <c r="G34" s="1233"/>
      <c r="H34" s="254">
        <f>D34*E34*F34</f>
        <v>34.199999999999996</v>
      </c>
      <c r="I34" s="256">
        <v>39</v>
      </c>
      <c r="J34" s="243" t="s">
        <v>254</v>
      </c>
    </row>
    <row r="35" spans="1:10" x14ac:dyDescent="0.25">
      <c r="A35" s="214" t="s">
        <v>255</v>
      </c>
      <c r="B35" s="1224" t="s">
        <v>256</v>
      </c>
      <c r="C35" s="1225"/>
      <c r="D35" s="215">
        <v>0</v>
      </c>
      <c r="E35" s="216">
        <v>52</v>
      </c>
      <c r="F35" s="1226">
        <v>0.37</v>
      </c>
      <c r="G35" s="1227"/>
      <c r="H35" s="201">
        <f>F35/10*D35*E35</f>
        <v>0</v>
      </c>
      <c r="I35" s="217">
        <v>36</v>
      </c>
      <c r="J35" s="218" t="s">
        <v>257</v>
      </c>
    </row>
    <row r="36" spans="1:10" ht="28.15" customHeight="1" x14ac:dyDescent="0.25">
      <c r="A36" s="214" t="s">
        <v>258</v>
      </c>
      <c r="B36" s="1224" t="s">
        <v>259</v>
      </c>
      <c r="C36" s="1225"/>
      <c r="D36" s="215">
        <v>9</v>
      </c>
      <c r="E36" s="216">
        <v>282</v>
      </c>
      <c r="F36" s="1203">
        <v>0.24</v>
      </c>
      <c r="G36" s="1204"/>
      <c r="H36" s="201">
        <f>F36/10*D36*E36</f>
        <v>60.911999999999999</v>
      </c>
      <c r="I36" s="217">
        <v>52</v>
      </c>
      <c r="J36" s="218" t="s">
        <v>260</v>
      </c>
    </row>
    <row r="37" spans="1:10" x14ac:dyDescent="0.25">
      <c r="A37" s="219"/>
      <c r="B37" s="1239" t="s">
        <v>261</v>
      </c>
      <c r="C37" s="1240"/>
      <c r="D37" s="220"/>
      <c r="E37" s="221"/>
      <c r="F37" s="1241"/>
      <c r="G37" s="1241"/>
      <c r="H37" s="222">
        <f>SUM(H27:H36)</f>
        <v>763.14200000000005</v>
      </c>
      <c r="I37" s="223"/>
      <c r="J37" s="224"/>
    </row>
    <row r="38" spans="1:10" ht="26.45" customHeight="1" x14ac:dyDescent="0.25">
      <c r="A38" s="1242" t="s">
        <v>262</v>
      </c>
      <c r="B38" s="1243"/>
      <c r="C38" s="1244"/>
      <c r="D38" s="1245"/>
      <c r="E38" s="1244"/>
      <c r="F38" s="1245"/>
      <c r="G38" s="1243"/>
      <c r="H38" s="1243"/>
      <c r="I38" s="1243"/>
      <c r="J38" s="1244"/>
    </row>
    <row r="39" spans="1:10" x14ac:dyDescent="0.25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25">
      <c r="A40" s="1246" t="s">
        <v>263</v>
      </c>
      <c r="B40" s="1247"/>
      <c r="C40" s="1247"/>
      <c r="D40" s="1247"/>
      <c r="E40" s="1247"/>
      <c r="F40" s="1247"/>
      <c r="G40" s="1247"/>
      <c r="H40" s="1247"/>
      <c r="I40" s="1247"/>
      <c r="J40" s="1247"/>
    </row>
    <row r="41" spans="1:10" ht="84" x14ac:dyDescent="0.25">
      <c r="A41" s="1220" t="s">
        <v>186</v>
      </c>
      <c r="B41" s="1221"/>
      <c r="C41" s="229" t="s">
        <v>264</v>
      </c>
      <c r="D41" s="230" t="s">
        <v>265</v>
      </c>
      <c r="E41" s="231" t="s">
        <v>266</v>
      </c>
      <c r="F41" s="232" t="s">
        <v>267</v>
      </c>
      <c r="G41" s="232" t="s">
        <v>268</v>
      </c>
      <c r="H41" s="231" t="s">
        <v>269</v>
      </c>
      <c r="I41" s="1222" t="s">
        <v>942</v>
      </c>
      <c r="J41" s="1223"/>
    </row>
    <row r="42" spans="1:10" x14ac:dyDescent="0.25">
      <c r="A42" s="1222">
        <v>1</v>
      </c>
      <c r="B42" s="1221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234">
        <v>7</v>
      </c>
      <c r="J42" s="1235"/>
    </row>
    <row r="43" spans="1:10" x14ac:dyDescent="0.25">
      <c r="A43" s="1236" t="s">
        <v>193</v>
      </c>
      <c r="B43" s="761"/>
      <c r="C43" s="235">
        <f>H37-H31</f>
        <v>729.60080000000005</v>
      </c>
      <c r="D43" s="236">
        <f>J23</f>
        <v>2002</v>
      </c>
      <c r="E43" s="201">
        <f>ROUND(C43/D43,2)</f>
        <v>0.36</v>
      </c>
      <c r="F43" s="201">
        <f>оклади!K7</f>
        <v>4516</v>
      </c>
      <c r="G43" s="208">
        <f>E43*F43</f>
        <v>1625.76</v>
      </c>
      <c r="H43" s="201">
        <f>G43*0.13</f>
        <v>211.34880000000001</v>
      </c>
      <c r="I43" s="1237">
        <f>G43*1.0676+H43</f>
        <v>1947.0101760000002</v>
      </c>
      <c r="J43" s="1238"/>
    </row>
    <row r="44" spans="1:10" ht="23.45" customHeight="1" x14ac:dyDescent="0.25">
      <c r="A44" s="1236" t="s">
        <v>195</v>
      </c>
      <c r="B44" s="1236"/>
      <c r="C44" s="235">
        <f>H31</f>
        <v>33.541199999999996</v>
      </c>
      <c r="D44" s="236">
        <f>J23</f>
        <v>2002</v>
      </c>
      <c r="E44" s="237">
        <f>C44/D44</f>
        <v>1.675384615384615E-2</v>
      </c>
      <c r="F44" s="201">
        <f>оклади!K8</f>
        <v>6279</v>
      </c>
      <c r="G44" s="208">
        <f>E44*F44</f>
        <v>105.19739999999997</v>
      </c>
      <c r="H44" s="201">
        <f>G44*0.15</f>
        <v>15.779609999999995</v>
      </c>
      <c r="I44" s="1253">
        <f>G44*1.0676+H44</f>
        <v>128.08835423999997</v>
      </c>
      <c r="J44" s="1254"/>
    </row>
    <row r="45" spans="1:10" x14ac:dyDescent="0.25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25">
      <c r="A46" s="1246" t="s">
        <v>270</v>
      </c>
      <c r="B46" s="1246"/>
      <c r="C46" s="1246"/>
      <c r="D46" s="1246"/>
      <c r="E46" s="1246"/>
      <c r="F46" s="1246"/>
      <c r="G46" s="1246"/>
      <c r="H46" s="1246"/>
      <c r="I46" s="1246"/>
      <c r="J46" s="1246"/>
    </row>
    <row r="47" spans="1:10" ht="60" x14ac:dyDescent="0.25">
      <c r="A47" s="1248" t="s">
        <v>271</v>
      </c>
      <c r="B47" s="1249"/>
      <c r="C47" s="231" t="s">
        <v>272</v>
      </c>
      <c r="D47" s="231" t="s">
        <v>273</v>
      </c>
      <c r="E47" s="1248" t="s">
        <v>274</v>
      </c>
      <c r="F47" s="1250"/>
      <c r="G47" s="1248" t="s">
        <v>275</v>
      </c>
      <c r="H47" s="741"/>
      <c r="I47" s="1248" t="s">
        <v>276</v>
      </c>
      <c r="J47" s="741"/>
    </row>
    <row r="48" spans="1:10" x14ac:dyDescent="0.25">
      <c r="A48" s="1248">
        <v>1</v>
      </c>
      <c r="B48" s="1249"/>
      <c r="C48" s="231">
        <v>2</v>
      </c>
      <c r="D48" s="231">
        <v>3</v>
      </c>
      <c r="E48" s="1248">
        <v>4</v>
      </c>
      <c r="F48" s="1250"/>
      <c r="G48" s="1248">
        <v>5</v>
      </c>
      <c r="H48" s="741"/>
      <c r="I48" s="1248">
        <v>6</v>
      </c>
      <c r="J48" s="741"/>
    </row>
    <row r="49" spans="1:10" ht="45" customHeight="1" x14ac:dyDescent="0.25">
      <c r="A49" s="1248" t="s">
        <v>277</v>
      </c>
      <c r="B49" s="1248"/>
      <c r="C49" s="404">
        <v>1845170</v>
      </c>
      <c r="D49" s="243">
        <v>4483062</v>
      </c>
      <c r="E49" s="1251">
        <f>C49/D49*100</f>
        <v>41.158699121270239</v>
      </c>
      <c r="F49" s="840"/>
      <c r="G49" s="1252">
        <f>I43+I44</f>
        <v>2075.0985302400004</v>
      </c>
      <c r="H49" s="741"/>
      <c r="I49" s="1252">
        <f>E49*G49/100</f>
        <v>854.08356053138266</v>
      </c>
      <c r="J49" s="741"/>
    </row>
    <row r="50" spans="1:10" ht="33" customHeight="1" x14ac:dyDescent="0.25">
      <c r="A50" s="1248" t="s">
        <v>278</v>
      </c>
      <c r="B50" s="1248"/>
      <c r="C50" s="404">
        <v>3447871</v>
      </c>
      <c r="D50" s="243">
        <v>15293041.959999999</v>
      </c>
      <c r="E50" s="1251">
        <f>C50/D50*100</f>
        <v>22.54535761438531</v>
      </c>
      <c r="F50" s="840"/>
      <c r="G50" s="1252">
        <f>I11+I12+I14+I15+I49</f>
        <v>3506.9938781275368</v>
      </c>
      <c r="H50" s="741"/>
      <c r="I50" s="1252">
        <f>E50*G50/100</f>
        <v>790.66431133845322</v>
      </c>
      <c r="J50" s="741"/>
    </row>
    <row r="51" spans="1:10" ht="37.15" customHeight="1" x14ac:dyDescent="0.25">
      <c r="A51" s="1256" t="s">
        <v>279</v>
      </c>
      <c r="B51" s="1256"/>
      <c r="C51" s="405"/>
      <c r="D51" s="406"/>
      <c r="E51" s="1257"/>
      <c r="F51" s="840"/>
      <c r="G51" s="1258"/>
      <c r="H51" s="741"/>
      <c r="I51" s="1258">
        <f>SUM(I49:I50)</f>
        <v>1644.7478718698358</v>
      </c>
      <c r="J51" s="741"/>
    </row>
    <row r="52" spans="1:10" x14ac:dyDescent="0.25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50000000000003" customHeight="1" x14ac:dyDescent="0.25">
      <c r="A53" s="1255" t="s">
        <v>280</v>
      </c>
      <c r="B53" s="1255"/>
      <c r="C53" s="1255"/>
      <c r="D53" s="1255"/>
      <c r="E53" s="1255"/>
      <c r="F53" s="1255"/>
      <c r="G53" s="1255"/>
      <c r="H53" s="1255"/>
      <c r="I53" s="1255"/>
      <c r="J53" s="1255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25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65" t="str">
        <f>CONCATENATE(кошторис!B6)</f>
        <v>м. КанівГероїв Дніпра7</v>
      </c>
      <c r="B1" s="1166"/>
      <c r="C1" s="1166"/>
      <c r="D1" s="926"/>
      <c r="E1" s="926"/>
      <c r="F1" s="181"/>
      <c r="G1" s="1167" t="s">
        <v>209</v>
      </c>
      <c r="H1" s="1167"/>
      <c r="I1" s="1167"/>
      <c r="J1" s="1167"/>
    </row>
    <row r="2" spans="1:12" x14ac:dyDescent="0.25">
      <c r="A2" s="181"/>
      <c r="B2" s="181"/>
      <c r="C2" s="181"/>
      <c r="D2" s="181"/>
      <c r="E2" s="181"/>
      <c r="F2" s="181"/>
      <c r="G2" s="1167" t="s">
        <v>104</v>
      </c>
      <c r="H2" s="1167"/>
      <c r="I2" s="1167"/>
      <c r="J2" s="1167"/>
    </row>
    <row r="3" spans="1:12" x14ac:dyDescent="0.25">
      <c r="A3" s="181"/>
      <c r="B3" s="181"/>
      <c r="C3" s="181"/>
      <c r="D3" s="181"/>
      <c r="E3" s="181"/>
      <c r="F3" s="181"/>
      <c r="G3" s="1171" t="s">
        <v>629</v>
      </c>
      <c r="H3" s="1171"/>
      <c r="I3" s="1171"/>
      <c r="J3" s="1171"/>
    </row>
    <row r="4" spans="1:12" x14ac:dyDescent="0.25">
      <c r="A4" s="181"/>
      <c r="B4" s="181"/>
      <c r="C4" s="181"/>
      <c r="D4" s="181"/>
      <c r="E4" s="181"/>
      <c r="F4" s="181"/>
      <c r="G4" s="252"/>
      <c r="H4" s="253"/>
      <c r="I4" s="1168" t="s">
        <v>288</v>
      </c>
      <c r="J4" s="1168"/>
    </row>
    <row r="5" spans="1:12" x14ac:dyDescent="0.25">
      <c r="A5" s="181"/>
      <c r="B5" s="181"/>
      <c r="C5" s="181"/>
      <c r="D5" s="181"/>
      <c r="E5" s="181"/>
      <c r="F5" s="181"/>
      <c r="G5" s="1167"/>
      <c r="H5" s="1167"/>
      <c r="I5" s="1167"/>
      <c r="J5" s="1167"/>
    </row>
    <row r="6" spans="1:12" x14ac:dyDescent="0.25">
      <c r="A6" s="1169" t="s">
        <v>292</v>
      </c>
      <c r="B6" s="1169"/>
      <c r="C6" s="1169"/>
      <c r="D6" s="1169"/>
      <c r="E6" s="1169"/>
      <c r="F6" s="1169"/>
      <c r="G6" s="1169"/>
      <c r="H6" s="1169"/>
      <c r="I6" s="1169"/>
      <c r="J6" s="1169"/>
    </row>
    <row r="7" spans="1:12" ht="28.15" customHeight="1" x14ac:dyDescent="0.25">
      <c r="A7" s="1264" t="s">
        <v>932</v>
      </c>
      <c r="B7" s="1264"/>
      <c r="C7" s="1264"/>
      <c r="D7" s="1264"/>
      <c r="E7" s="1264"/>
      <c r="F7" s="1264"/>
      <c r="G7" s="1264"/>
      <c r="H7" s="1264"/>
      <c r="I7" s="1264"/>
      <c r="J7" s="1264"/>
      <c r="K7" s="1264"/>
      <c r="L7" s="1264"/>
    </row>
    <row r="8" spans="1:12" ht="19.899999999999999" customHeight="1" x14ac:dyDescent="0.25">
      <c r="A8" s="1262" t="s">
        <v>491</v>
      </c>
      <c r="B8" s="1263"/>
      <c r="C8" s="1263"/>
      <c r="D8" s="1263"/>
      <c r="E8" s="1263"/>
      <c r="F8" s="1263"/>
      <c r="G8" s="1263"/>
      <c r="H8" s="1263"/>
      <c r="I8" s="1263"/>
      <c r="J8" s="1263"/>
      <c r="K8" s="1263"/>
      <c r="L8" s="1263"/>
    </row>
    <row r="9" spans="1:12" ht="25.5" x14ac:dyDescent="0.25">
      <c r="A9" s="184" t="s">
        <v>211</v>
      </c>
      <c r="B9" s="1162" t="s">
        <v>212</v>
      </c>
      <c r="C9" s="1163"/>
      <c r="D9" s="1163"/>
      <c r="E9" s="1163"/>
      <c r="F9" s="1163"/>
      <c r="G9" s="1163"/>
      <c r="H9" s="1163"/>
      <c r="I9" s="1163"/>
      <c r="J9" s="184" t="s">
        <v>213</v>
      </c>
      <c r="K9" s="184" t="s">
        <v>214</v>
      </c>
      <c r="L9" s="184" t="s">
        <v>484</v>
      </c>
    </row>
    <row r="10" spans="1:12" x14ac:dyDescent="0.25">
      <c r="A10" s="184">
        <v>1</v>
      </c>
      <c r="B10" s="1172" t="s">
        <v>485</v>
      </c>
      <c r="C10" s="1151"/>
      <c r="D10" s="1151"/>
      <c r="E10" s="1151"/>
      <c r="F10" s="1151"/>
      <c r="G10" s="1151"/>
      <c r="H10" s="1151"/>
      <c r="I10" s="1151"/>
      <c r="J10" s="261" t="s">
        <v>486</v>
      </c>
      <c r="K10" s="426">
        <f>L10*12</f>
        <v>1680</v>
      </c>
      <c r="L10" s="426">
        <f>Характеристика!L80</f>
        <v>140</v>
      </c>
    </row>
    <row r="11" spans="1:12" x14ac:dyDescent="0.25">
      <c r="A11" s="184">
        <v>2</v>
      </c>
      <c r="B11" s="1172" t="s">
        <v>494</v>
      </c>
      <c r="C11" s="1151"/>
      <c r="D11" s="1151"/>
      <c r="E11" s="1151"/>
      <c r="F11" s="1151"/>
      <c r="G11" s="1151"/>
      <c r="H11" s="1151"/>
      <c r="I11" s="1151"/>
      <c r="J11" s="261" t="s">
        <v>177</v>
      </c>
      <c r="K11" s="1259">
        <f>розрахунок!D22</f>
        <v>1.4</v>
      </c>
      <c r="L11" s="1260"/>
    </row>
    <row r="12" spans="1:12" x14ac:dyDescent="0.25">
      <c r="A12" s="184">
        <v>3</v>
      </c>
      <c r="B12" s="1261" t="s">
        <v>495</v>
      </c>
      <c r="C12" s="842"/>
      <c r="D12" s="842"/>
      <c r="E12" s="842"/>
      <c r="F12" s="842"/>
      <c r="G12" s="842"/>
      <c r="H12" s="842"/>
      <c r="I12" s="843"/>
      <c r="J12" s="261" t="s">
        <v>177</v>
      </c>
      <c r="K12" s="426">
        <f>L12*12</f>
        <v>530.26681109034246</v>
      </c>
      <c r="L12" s="427">
        <f>L23</f>
        <v>44.188900924195202</v>
      </c>
    </row>
    <row r="13" spans="1:12" x14ac:dyDescent="0.25">
      <c r="A13" s="184">
        <v>4</v>
      </c>
      <c r="B13" s="1265" t="s">
        <v>492</v>
      </c>
      <c r="C13" s="842"/>
      <c r="D13" s="842"/>
      <c r="E13" s="842"/>
      <c r="F13" s="842"/>
      <c r="G13" s="842"/>
      <c r="H13" s="842"/>
      <c r="I13" s="843"/>
      <c r="J13" s="184" t="s">
        <v>177</v>
      </c>
      <c r="K13" s="428">
        <f>L13*12</f>
        <v>2882.2668110903423</v>
      </c>
      <c r="L13" s="428">
        <f>L12+J22</f>
        <v>240.1889009241952</v>
      </c>
    </row>
    <row r="14" spans="1:12" x14ac:dyDescent="0.25">
      <c r="A14" s="184">
        <v>5</v>
      </c>
      <c r="B14" s="1177" t="s">
        <v>119</v>
      </c>
      <c r="C14" s="1151"/>
      <c r="D14" s="1151"/>
      <c r="E14" s="1151"/>
      <c r="F14" s="1151"/>
      <c r="G14" s="1151"/>
      <c r="H14" s="1151"/>
      <c r="I14" s="1151"/>
      <c r="J14" s="261" t="s">
        <v>218</v>
      </c>
      <c r="K14" s="1179">
        <f>Характеристика!N18</f>
        <v>2981.4</v>
      </c>
      <c r="L14" s="1260"/>
    </row>
    <row r="15" spans="1:12" x14ac:dyDescent="0.25">
      <c r="A15" s="184">
        <v>6</v>
      </c>
      <c r="B15" s="1181" t="s">
        <v>493</v>
      </c>
      <c r="C15" s="1163"/>
      <c r="D15" s="1163"/>
      <c r="E15" s="1163"/>
      <c r="F15" s="1163"/>
      <c r="G15" s="1163"/>
      <c r="H15" s="1163"/>
      <c r="I15" s="1163"/>
      <c r="J15" s="184" t="s">
        <v>177</v>
      </c>
      <c r="K15" s="1191">
        <f>L13/K14</f>
        <v>8.0562454190714158E-2</v>
      </c>
      <c r="L15" s="1266"/>
    </row>
    <row r="16" spans="1:12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25">
      <c r="A18" s="1267" t="s">
        <v>487</v>
      </c>
      <c r="B18" s="1268"/>
      <c r="C18" s="1268"/>
      <c r="D18" s="1269"/>
      <c r="E18" s="1269"/>
      <c r="F18" s="1269"/>
      <c r="G18" s="1269"/>
      <c r="H18" s="1269"/>
      <c r="I18" s="1269"/>
      <c r="J18" s="1269"/>
      <c r="K18" s="1269"/>
      <c r="L18" s="1269"/>
    </row>
    <row r="19" spans="1:12" ht="168" x14ac:dyDescent="0.25">
      <c r="A19" s="1248" t="s">
        <v>271</v>
      </c>
      <c r="B19" s="1270"/>
      <c r="C19" s="1270"/>
      <c r="D19" s="1248" t="s">
        <v>272</v>
      </c>
      <c r="E19" s="741"/>
      <c r="F19" s="1248" t="s">
        <v>488</v>
      </c>
      <c r="G19" s="741"/>
      <c r="H19" s="1248" t="s">
        <v>274</v>
      </c>
      <c r="I19" s="1250"/>
      <c r="J19" s="1248" t="s">
        <v>489</v>
      </c>
      <c r="K19" s="741"/>
      <c r="L19" s="231" t="s">
        <v>490</v>
      </c>
    </row>
    <row r="20" spans="1:12" x14ac:dyDescent="0.25">
      <c r="A20" s="1248">
        <v>1</v>
      </c>
      <c r="B20" s="741"/>
      <c r="C20" s="741"/>
      <c r="D20" s="1248">
        <v>2</v>
      </c>
      <c r="E20" s="741"/>
      <c r="F20" s="1248">
        <v>3</v>
      </c>
      <c r="G20" s="741"/>
      <c r="H20" s="1248">
        <v>4</v>
      </c>
      <c r="I20" s="1250"/>
      <c r="J20" s="1248">
        <v>5</v>
      </c>
      <c r="K20" s="741"/>
      <c r="L20" s="231">
        <v>6</v>
      </c>
    </row>
    <row r="21" spans="1:12" x14ac:dyDescent="0.25">
      <c r="A21" s="1271" t="s">
        <v>277</v>
      </c>
      <c r="B21" s="741"/>
      <c r="C21" s="741"/>
      <c r="D21" s="1272">
        <f>прибирання!C49</f>
        <v>1845170</v>
      </c>
      <c r="E21" s="741"/>
      <c r="F21" s="1252">
        <f>прибирання!D49</f>
        <v>4483062</v>
      </c>
      <c r="G21" s="741"/>
      <c r="H21" s="1251">
        <f>D21/F21*100</f>
        <v>41.158699121270239</v>
      </c>
      <c r="I21" s="840"/>
      <c r="J21" s="1252">
        <v>0</v>
      </c>
      <c r="K21" s="741"/>
      <c r="L21" s="243">
        <f>H21*J21/100</f>
        <v>0</v>
      </c>
    </row>
    <row r="22" spans="1:12" x14ac:dyDescent="0.25">
      <c r="A22" s="1271" t="s">
        <v>278</v>
      </c>
      <c r="B22" s="741"/>
      <c r="C22" s="741"/>
      <c r="D22" s="1272">
        <f>прибирання!C50</f>
        <v>3447871</v>
      </c>
      <c r="E22" s="741"/>
      <c r="F22" s="1252">
        <f>прибирання!D50</f>
        <v>15293041.959999999</v>
      </c>
      <c r="G22" s="741"/>
      <c r="H22" s="1251">
        <f>D22/F22*100</f>
        <v>22.54535761438531</v>
      </c>
      <c r="I22" s="840"/>
      <c r="J22" s="1252">
        <f>L10*K11</f>
        <v>196</v>
      </c>
      <c r="K22" s="741"/>
      <c r="L22" s="243">
        <f>H22*J22/100</f>
        <v>44.188900924195202</v>
      </c>
    </row>
    <row r="23" spans="1:12" x14ac:dyDescent="0.25">
      <c r="A23" s="1273" t="s">
        <v>279</v>
      </c>
      <c r="B23" s="741"/>
      <c r="C23" s="741"/>
      <c r="D23" s="1274"/>
      <c r="E23" s="741"/>
      <c r="F23" s="1258"/>
      <c r="G23" s="741"/>
      <c r="H23" s="1257"/>
      <c r="I23" s="840"/>
      <c r="J23" s="1258"/>
      <c r="K23" s="741"/>
      <c r="L23" s="406">
        <f>SUM(L21:L22)</f>
        <v>44.188900924195202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2020-07-30T13:08:56Z</dcterms:modified>
</cp:coreProperties>
</file>