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 activeTab="5"/>
  </bookViews>
  <sheets>
    <sheet name="без контейнерна схема" sheetId="1" r:id="rId1"/>
    <sheet name="механічне" sheetId="15" r:id="rId2"/>
    <sheet name="збір" sheetId="16" r:id="rId3"/>
    <sheet name="вг" sheetId="17" r:id="rId4"/>
    <sheet name="ремонт" sheetId="18" r:id="rId5"/>
    <sheet name="захоронення" sheetId="19" r:id="rId6"/>
    <sheet name="Лист1" sheetId="2" r:id="rId7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9"/>
  <c r="P25"/>
  <c r="O24" l="1"/>
  <c r="O19"/>
  <c r="M48"/>
  <c r="M12"/>
  <c r="L24"/>
  <c r="L19"/>
  <c r="L14"/>
  <c r="H24"/>
  <c r="H19"/>
  <c r="H54"/>
  <c r="H53"/>
  <c r="H52"/>
  <c r="H51" s="1"/>
  <c r="L21"/>
  <c r="O51"/>
  <c r="P26" s="1"/>
  <c r="L51"/>
  <c r="M26" s="1"/>
  <c r="N49"/>
  <c r="K49"/>
  <c r="J49"/>
  <c r="N48"/>
  <c r="K48"/>
  <c r="J48"/>
  <c r="P42"/>
  <c r="P27"/>
  <c r="M27"/>
  <c r="O21"/>
  <c r="H21"/>
  <c r="M16"/>
  <c r="M15"/>
  <c r="M14"/>
  <c r="O13"/>
  <c r="L13"/>
  <c r="H13"/>
  <c r="H12" s="1"/>
  <c r="H30" s="1"/>
  <c r="P50" i="18"/>
  <c r="P47"/>
  <c r="O47"/>
  <c r="P36"/>
  <c r="P32"/>
  <c r="M32"/>
  <c r="I32"/>
  <c r="O19"/>
  <c r="O13" s="1"/>
  <c r="I12"/>
  <c r="I25"/>
  <c r="H19"/>
  <c r="M47"/>
  <c r="M48"/>
  <c r="L47"/>
  <c r="M37"/>
  <c r="L37"/>
  <c r="M36"/>
  <c r="M30"/>
  <c r="M12"/>
  <c r="L24"/>
  <c r="L19"/>
  <c r="L13" s="1"/>
  <c r="M58"/>
  <c r="O51"/>
  <c r="P26" s="1"/>
  <c r="L51"/>
  <c r="M26" s="1"/>
  <c r="H51"/>
  <c r="I26" s="1"/>
  <c r="N49"/>
  <c r="K49"/>
  <c r="J49"/>
  <c r="N48"/>
  <c r="K48"/>
  <c r="J48"/>
  <c r="P42"/>
  <c r="P27"/>
  <c r="M27"/>
  <c r="I27"/>
  <c r="P23"/>
  <c r="O21"/>
  <c r="L21"/>
  <c r="H21"/>
  <c r="P19"/>
  <c r="I18"/>
  <c r="P15"/>
  <c r="H13"/>
  <c r="P50" i="17"/>
  <c r="P48"/>
  <c r="P35"/>
  <c r="O47"/>
  <c r="P34"/>
  <c r="P33"/>
  <c r="O34"/>
  <c r="M34"/>
  <c r="O19"/>
  <c r="I26" i="19" l="1"/>
  <c r="I25"/>
  <c r="L12"/>
  <c r="L30" s="1"/>
  <c r="I27"/>
  <c r="I18"/>
  <c r="P22"/>
  <c r="P14"/>
  <c r="P15"/>
  <c r="P16"/>
  <c r="P19"/>
  <c r="O12"/>
  <c r="O30" s="1"/>
  <c r="P17"/>
  <c r="P18"/>
  <c r="P20"/>
  <c r="P23"/>
  <c r="P24"/>
  <c r="M17"/>
  <c r="M18"/>
  <c r="M13" s="1"/>
  <c r="M19"/>
  <c r="M20"/>
  <c r="M22"/>
  <c r="M23"/>
  <c r="M24"/>
  <c r="M25"/>
  <c r="I14"/>
  <c r="I23"/>
  <c r="I16"/>
  <c r="I20"/>
  <c r="I15"/>
  <c r="I17"/>
  <c r="I19"/>
  <c r="I22"/>
  <c r="I24"/>
  <c r="H12" i="18"/>
  <c r="H30" s="1"/>
  <c r="P17"/>
  <c r="P18"/>
  <c r="P25"/>
  <c r="I14"/>
  <c r="O12"/>
  <c r="O30" s="1"/>
  <c r="P14"/>
  <c r="P16"/>
  <c r="P20"/>
  <c r="P22"/>
  <c r="P21" s="1"/>
  <c r="P24"/>
  <c r="M14"/>
  <c r="M15"/>
  <c r="M16"/>
  <c r="M17"/>
  <c r="M20"/>
  <c r="M18"/>
  <c r="M19"/>
  <c r="M22"/>
  <c r="M23"/>
  <c r="M24"/>
  <c r="M25"/>
  <c r="I16"/>
  <c r="I23"/>
  <c r="I15"/>
  <c r="I17"/>
  <c r="I19"/>
  <c r="I20"/>
  <c r="I22"/>
  <c r="I24"/>
  <c r="L12"/>
  <c r="L30" s="1"/>
  <c r="I13"/>
  <c r="L24" i="17"/>
  <c r="L19"/>
  <c r="I21" i="19" l="1"/>
  <c r="P21"/>
  <c r="P13"/>
  <c r="M21"/>
  <c r="M30" s="1"/>
  <c r="I13"/>
  <c r="I12" s="1"/>
  <c r="I30" s="1"/>
  <c r="M21" i="18"/>
  <c r="P13"/>
  <c r="P12" s="1"/>
  <c r="P30" s="1"/>
  <c r="M13"/>
  <c r="L35" s="1"/>
  <c r="L39" s="1"/>
  <c r="I21"/>
  <c r="I30"/>
  <c r="H34" s="1"/>
  <c r="I24" i="17"/>
  <c r="P12" i="19" l="1"/>
  <c r="L35"/>
  <c r="L34"/>
  <c r="L33"/>
  <c r="H35"/>
  <c r="H33"/>
  <c r="H37" s="1"/>
  <c r="I37" s="1"/>
  <c r="H34"/>
  <c r="I34" s="1"/>
  <c r="I49" s="1"/>
  <c r="I57" s="1"/>
  <c r="H35" i="18"/>
  <c r="I35" s="1"/>
  <c r="I50" s="1"/>
  <c r="I58" s="1"/>
  <c r="H33"/>
  <c r="I33" s="1"/>
  <c r="O35"/>
  <c r="O33"/>
  <c r="O34"/>
  <c r="L34"/>
  <c r="L38" s="1"/>
  <c r="L33"/>
  <c r="H38"/>
  <c r="H37"/>
  <c r="H39"/>
  <c r="I39" s="1"/>
  <c r="O35" i="19" l="1"/>
  <c r="H32"/>
  <c r="H47" s="1"/>
  <c r="I47" s="1"/>
  <c r="H38"/>
  <c r="I38" s="1"/>
  <c r="L37"/>
  <c r="L32"/>
  <c r="L47" s="1"/>
  <c r="M47" s="1"/>
  <c r="M33"/>
  <c r="L39"/>
  <c r="M39" s="1"/>
  <c r="M35"/>
  <c r="L38"/>
  <c r="M38" s="1"/>
  <c r="M34"/>
  <c r="M49" s="1"/>
  <c r="M57" s="1"/>
  <c r="I33"/>
  <c r="I48" s="1"/>
  <c r="I56" s="1"/>
  <c r="I35"/>
  <c r="I50" s="1"/>
  <c r="I58" s="1"/>
  <c r="H39"/>
  <c r="H32" i="18"/>
  <c r="H47" s="1"/>
  <c r="I47" s="1"/>
  <c r="O38"/>
  <c r="P43" s="1"/>
  <c r="P57"/>
  <c r="O39"/>
  <c r="P39" s="1"/>
  <c r="P35"/>
  <c r="P33"/>
  <c r="P48" s="1"/>
  <c r="O37"/>
  <c r="O32"/>
  <c r="M33"/>
  <c r="M57"/>
  <c r="L32"/>
  <c r="L36"/>
  <c r="I48"/>
  <c r="I56" s="1"/>
  <c r="H36"/>
  <c r="I36" s="1"/>
  <c r="I37"/>
  <c r="P35" i="19" l="1"/>
  <c r="P50" s="1"/>
  <c r="P58" s="1"/>
  <c r="O39"/>
  <c r="P39" s="1"/>
  <c r="O33"/>
  <c r="O34"/>
  <c r="O38" s="1"/>
  <c r="O36" s="1"/>
  <c r="M50"/>
  <c r="M58" s="1"/>
  <c r="O37"/>
  <c r="P37" s="1"/>
  <c r="P33"/>
  <c r="P48" s="1"/>
  <c r="P56" s="1"/>
  <c r="M56"/>
  <c r="M32"/>
  <c r="L36"/>
  <c r="L40" s="1"/>
  <c r="L41" s="1"/>
  <c r="M41" s="1"/>
  <c r="M37"/>
  <c r="M36" s="1"/>
  <c r="I39"/>
  <c r="H36"/>
  <c r="I32"/>
  <c r="M40" i="18"/>
  <c r="P58"/>
  <c r="M56"/>
  <c r="P56"/>
  <c r="P37"/>
  <c r="P41" s="1"/>
  <c r="O36"/>
  <c r="O40" s="1"/>
  <c r="L40"/>
  <c r="L41" s="1"/>
  <c r="M41" s="1"/>
  <c r="H40"/>
  <c r="P38" i="19" l="1"/>
  <c r="O32"/>
  <c r="O40" s="1"/>
  <c r="P34"/>
  <c r="P49" s="1"/>
  <c r="P57" s="1"/>
  <c r="O47"/>
  <c r="P47" s="1"/>
  <c r="P32"/>
  <c r="P43"/>
  <c r="P36"/>
  <c r="P41" s="1"/>
  <c r="M40"/>
  <c r="I36"/>
  <c r="H40"/>
  <c r="O41" i="18"/>
  <c r="P40"/>
  <c r="I40"/>
  <c r="H41"/>
  <c r="I41" s="1"/>
  <c r="P40" i="19" l="1"/>
  <c r="O41"/>
  <c r="I40"/>
  <c r="H41"/>
  <c r="I41" s="1"/>
  <c r="I13" i="17" l="1"/>
  <c r="H19"/>
  <c r="O51"/>
  <c r="P26" s="1"/>
  <c r="L51"/>
  <c r="M26" s="1"/>
  <c r="H51"/>
  <c r="I25" s="1"/>
  <c r="N49"/>
  <c r="K49"/>
  <c r="J49"/>
  <c r="N48"/>
  <c r="K48"/>
  <c r="J48"/>
  <c r="P42"/>
  <c r="P27"/>
  <c r="M27"/>
  <c r="O21"/>
  <c r="L21"/>
  <c r="H21"/>
  <c r="P17"/>
  <c r="O13"/>
  <c r="L13"/>
  <c r="H13"/>
  <c r="O47" i="15"/>
  <c r="P35"/>
  <c r="M33" i="16"/>
  <c r="M49"/>
  <c r="M50"/>
  <c r="L33"/>
  <c r="I47"/>
  <c r="I48"/>
  <c r="M30"/>
  <c r="O51"/>
  <c r="P26" s="1"/>
  <c r="L51"/>
  <c r="H51"/>
  <c r="I26" s="1"/>
  <c r="N49"/>
  <c r="K49"/>
  <c r="J49"/>
  <c r="N48"/>
  <c r="K48"/>
  <c r="J48"/>
  <c r="P42"/>
  <c r="P27"/>
  <c r="M27"/>
  <c r="I27"/>
  <c r="M26"/>
  <c r="P25"/>
  <c r="M25"/>
  <c r="I25"/>
  <c r="M24"/>
  <c r="I24"/>
  <c r="M23"/>
  <c r="P22"/>
  <c r="M22"/>
  <c r="I22"/>
  <c r="O21"/>
  <c r="L21"/>
  <c r="H21"/>
  <c r="M20"/>
  <c r="P19"/>
  <c r="M19"/>
  <c r="M18"/>
  <c r="P17"/>
  <c r="M17"/>
  <c r="I17"/>
  <c r="M16"/>
  <c r="P15"/>
  <c r="M15"/>
  <c r="I15"/>
  <c r="M14"/>
  <c r="O13"/>
  <c r="L13"/>
  <c r="L34" i="1"/>
  <c r="M34"/>
  <c r="I27" i="17" l="1"/>
  <c r="P15"/>
  <c r="P19"/>
  <c r="P23"/>
  <c r="P14"/>
  <c r="P16"/>
  <c r="P18"/>
  <c r="P20"/>
  <c r="P22"/>
  <c r="P25"/>
  <c r="I22"/>
  <c r="I23"/>
  <c r="I20"/>
  <c r="I26"/>
  <c r="H12"/>
  <c r="H30" s="1"/>
  <c r="O12"/>
  <c r="O30" s="1"/>
  <c r="P24"/>
  <c r="M20"/>
  <c r="M23"/>
  <c r="M14"/>
  <c r="M15"/>
  <c r="M16"/>
  <c r="M17"/>
  <c r="M18"/>
  <c r="M19"/>
  <c r="M25"/>
  <c r="L12"/>
  <c r="L30" s="1"/>
  <c r="I16"/>
  <c r="I14"/>
  <c r="I18"/>
  <c r="I15"/>
  <c r="I17"/>
  <c r="I19"/>
  <c r="M22"/>
  <c r="M24"/>
  <c r="M13" i="16"/>
  <c r="O12"/>
  <c r="O30" s="1"/>
  <c r="M21"/>
  <c r="M12" s="1"/>
  <c r="L12"/>
  <c r="L30" s="1"/>
  <c r="I19"/>
  <c r="H13"/>
  <c r="H12" s="1"/>
  <c r="H30" s="1"/>
  <c r="I14"/>
  <c r="I13" s="1"/>
  <c r="P14"/>
  <c r="I16"/>
  <c r="P16"/>
  <c r="I18"/>
  <c r="P18"/>
  <c r="I20"/>
  <c r="P20"/>
  <c r="I23"/>
  <c r="I21" s="1"/>
  <c r="P23"/>
  <c r="P21" s="1"/>
  <c r="P24"/>
  <c r="L33" i="1"/>
  <c r="M30"/>
  <c r="I47"/>
  <c r="H46"/>
  <c r="M40"/>
  <c r="M39"/>
  <c r="L39"/>
  <c r="M36"/>
  <c r="M38"/>
  <c r="M37"/>
  <c r="I40"/>
  <c r="H40"/>
  <c r="I39"/>
  <c r="H39"/>
  <c r="I36"/>
  <c r="I37"/>
  <c r="H36"/>
  <c r="H37"/>
  <c r="L36"/>
  <c r="P50" i="15"/>
  <c r="P58" s="1"/>
  <c r="P57"/>
  <c r="P49"/>
  <c r="H47"/>
  <c r="L47"/>
  <c r="H35"/>
  <c r="H34"/>
  <c r="H33"/>
  <c r="O51"/>
  <c r="P27" s="1"/>
  <c r="M41"/>
  <c r="L41"/>
  <c r="M40"/>
  <c r="L40"/>
  <c r="M36"/>
  <c r="L36"/>
  <c r="M38"/>
  <c r="M39"/>
  <c r="M37"/>
  <c r="L38"/>
  <c r="L39"/>
  <c r="L37"/>
  <c r="O19"/>
  <c r="M58"/>
  <c r="M57"/>
  <c r="M56"/>
  <c r="M50"/>
  <c r="M48"/>
  <c r="L33"/>
  <c r="L34"/>
  <c r="M35"/>
  <c r="M34"/>
  <c r="M49" s="1"/>
  <c r="L35"/>
  <c r="M30"/>
  <c r="L51"/>
  <c r="M13" i="17" l="1"/>
  <c r="I21"/>
  <c r="P21"/>
  <c r="P13"/>
  <c r="M21"/>
  <c r="I12"/>
  <c r="I30" s="1"/>
  <c r="H34" s="1"/>
  <c r="L34" i="16"/>
  <c r="M34" s="1"/>
  <c r="M57" s="1"/>
  <c r="L35"/>
  <c r="L37"/>
  <c r="I12"/>
  <c r="I30" s="1"/>
  <c r="L38"/>
  <c r="M38" s="1"/>
  <c r="P13"/>
  <c r="P12" s="1"/>
  <c r="P30" s="1"/>
  <c r="M12" i="17" l="1"/>
  <c r="M30" s="1"/>
  <c r="P12"/>
  <c r="P30" s="1"/>
  <c r="H35"/>
  <c r="H33"/>
  <c r="I33" s="1"/>
  <c r="H37"/>
  <c r="H38"/>
  <c r="I38" s="1"/>
  <c r="I34"/>
  <c r="I49" s="1"/>
  <c r="I57" s="1"/>
  <c r="L32" i="16"/>
  <c r="L47" s="1"/>
  <c r="M47" s="1"/>
  <c r="L39"/>
  <c r="M39" s="1"/>
  <c r="M35"/>
  <c r="M48"/>
  <c r="M37"/>
  <c r="O35"/>
  <c r="O34"/>
  <c r="O33"/>
  <c r="H35"/>
  <c r="H34"/>
  <c r="H33"/>
  <c r="L35" i="17" l="1"/>
  <c r="M58" s="1"/>
  <c r="L34"/>
  <c r="L33"/>
  <c r="O35"/>
  <c r="O33"/>
  <c r="H32"/>
  <c r="H47" s="1"/>
  <c r="I47" s="1"/>
  <c r="H39"/>
  <c r="I39" s="1"/>
  <c r="I35"/>
  <c r="I50" s="1"/>
  <c r="I58" s="1"/>
  <c r="I48"/>
  <c r="I56" s="1"/>
  <c r="I37"/>
  <c r="M58" i="16"/>
  <c r="M36"/>
  <c r="L36"/>
  <c r="L40" s="1"/>
  <c r="L41" s="1"/>
  <c r="M41" s="1"/>
  <c r="M32"/>
  <c r="M56"/>
  <c r="M40"/>
  <c r="H38"/>
  <c r="I38" s="1"/>
  <c r="I34"/>
  <c r="I49" s="1"/>
  <c r="I57" s="1"/>
  <c r="O38"/>
  <c r="P38" s="1"/>
  <c r="P43" s="1"/>
  <c r="P34"/>
  <c r="P49" s="1"/>
  <c r="P57" s="1"/>
  <c r="H37"/>
  <c r="H32"/>
  <c r="I33"/>
  <c r="H39"/>
  <c r="I39" s="1"/>
  <c r="I35"/>
  <c r="I50" s="1"/>
  <c r="I58" s="1"/>
  <c r="O37"/>
  <c r="O32"/>
  <c r="P33"/>
  <c r="O39"/>
  <c r="P39" s="1"/>
  <c r="P35"/>
  <c r="L39" i="17" l="1"/>
  <c r="M49"/>
  <c r="M57" s="1"/>
  <c r="L38"/>
  <c r="M38" s="1"/>
  <c r="L37"/>
  <c r="M33"/>
  <c r="L32"/>
  <c r="L47" s="1"/>
  <c r="M47" s="1"/>
  <c r="H36"/>
  <c r="I36" s="1"/>
  <c r="I32"/>
  <c r="O38"/>
  <c r="P38" s="1"/>
  <c r="P43" s="1"/>
  <c r="P49"/>
  <c r="P57" s="1"/>
  <c r="P58"/>
  <c r="O39"/>
  <c r="P39" s="1"/>
  <c r="O37"/>
  <c r="O32"/>
  <c r="P50" i="16"/>
  <c r="P58" s="1"/>
  <c r="P32"/>
  <c r="P48"/>
  <c r="P56" s="1"/>
  <c r="O36"/>
  <c r="O40" s="1"/>
  <c r="P37"/>
  <c r="P36" s="1"/>
  <c r="P41" s="1"/>
  <c r="H47"/>
  <c r="O47"/>
  <c r="P47" s="1"/>
  <c r="I32"/>
  <c r="I56"/>
  <c r="H36"/>
  <c r="I36" s="1"/>
  <c r="I37"/>
  <c r="M48" i="17" l="1"/>
  <c r="M56" s="1"/>
  <c r="M32"/>
  <c r="M37"/>
  <c r="M36" s="1"/>
  <c r="L36"/>
  <c r="L40" s="1"/>
  <c r="L41" s="1"/>
  <c r="M41" s="1"/>
  <c r="H40"/>
  <c r="I40" s="1"/>
  <c r="P32"/>
  <c r="P56"/>
  <c r="P47"/>
  <c r="O36"/>
  <c r="O40" s="1"/>
  <c r="P37"/>
  <c r="P36" s="1"/>
  <c r="P41" s="1"/>
  <c r="H41"/>
  <c r="I41" s="1"/>
  <c r="O41" i="16"/>
  <c r="P40"/>
  <c r="H40"/>
  <c r="M40" i="17" l="1"/>
  <c r="O41"/>
  <c r="P40"/>
  <c r="H41" i="16"/>
  <c r="I41" s="1"/>
  <c r="I40"/>
  <c r="L24" i="15" l="1"/>
  <c r="I58"/>
  <c r="I57"/>
  <c r="I50"/>
  <c r="I49"/>
  <c r="H51"/>
  <c r="I14" s="1"/>
  <c r="H19"/>
  <c r="M24"/>
  <c r="I27"/>
  <c r="N49"/>
  <c r="K49"/>
  <c r="J49"/>
  <c r="N48"/>
  <c r="K48"/>
  <c r="J48"/>
  <c r="P42"/>
  <c r="M33"/>
  <c r="L32"/>
  <c r="M27"/>
  <c r="M26"/>
  <c r="I26"/>
  <c r="M25"/>
  <c r="M23"/>
  <c r="O21"/>
  <c r="H21"/>
  <c r="M20"/>
  <c r="M18"/>
  <c r="M16"/>
  <c r="P53" i="1"/>
  <c r="I53"/>
  <c r="P46"/>
  <c r="I46"/>
  <c r="O46"/>
  <c r="P39"/>
  <c r="P40"/>
  <c r="P36"/>
  <c r="P37"/>
  <c r="I32"/>
  <c r="H32"/>
  <c r="I33"/>
  <c r="M33"/>
  <c r="M47" s="1"/>
  <c r="M53" s="1"/>
  <c r="P32"/>
  <c r="P33"/>
  <c r="M54" l="1"/>
  <c r="M48"/>
  <c r="M32"/>
  <c r="M46" s="1"/>
  <c r="P14" i="15"/>
  <c r="P26"/>
  <c r="M32"/>
  <c r="M14"/>
  <c r="M15"/>
  <c r="M17"/>
  <c r="M19"/>
  <c r="M22"/>
  <c r="M21" s="1"/>
  <c r="I15"/>
  <c r="P15"/>
  <c r="P16"/>
  <c r="P17"/>
  <c r="P18"/>
  <c r="P19"/>
  <c r="P20"/>
  <c r="P22"/>
  <c r="P23"/>
  <c r="P24"/>
  <c r="P25"/>
  <c r="I19"/>
  <c r="I17"/>
  <c r="I23"/>
  <c r="M13"/>
  <c r="M12" s="1"/>
  <c r="I16"/>
  <c r="I18"/>
  <c r="I20"/>
  <c r="I22"/>
  <c r="I24"/>
  <c r="I25"/>
  <c r="H13"/>
  <c r="H12" s="1"/>
  <c r="H30" s="1"/>
  <c r="L13"/>
  <c r="O13"/>
  <c r="O12" s="1"/>
  <c r="O30" s="1"/>
  <c r="L21"/>
  <c r="P13" l="1"/>
  <c r="I13"/>
  <c r="P21"/>
  <c r="P12" s="1"/>
  <c r="P30" s="1"/>
  <c r="I21"/>
  <c r="L12"/>
  <c r="L30" s="1"/>
  <c r="M47" s="1"/>
  <c r="O33" l="1"/>
  <c r="P33" s="1"/>
  <c r="O35"/>
  <c r="O34"/>
  <c r="P47"/>
  <c r="I12"/>
  <c r="I30" s="1"/>
  <c r="O39" l="1"/>
  <c r="P39" s="1"/>
  <c r="P32"/>
  <c r="P34"/>
  <c r="O38"/>
  <c r="P38" s="1"/>
  <c r="P43" s="1"/>
  <c r="O37"/>
  <c r="O32"/>
  <c r="P48"/>
  <c r="P56" s="1"/>
  <c r="H38"/>
  <c r="I38" s="1"/>
  <c r="H37"/>
  <c r="P37" l="1"/>
  <c r="P36" s="1"/>
  <c r="P41" s="1"/>
  <c r="O36"/>
  <c r="I37"/>
  <c r="I35"/>
  <c r="H39"/>
  <c r="I39" s="1"/>
  <c r="O40"/>
  <c r="O41" s="1"/>
  <c r="I34"/>
  <c r="H32"/>
  <c r="I33"/>
  <c r="I48" l="1"/>
  <c r="H36"/>
  <c r="I36" s="1"/>
  <c r="P40"/>
  <c r="I47"/>
  <c r="I32"/>
  <c r="I56"/>
  <c r="H40" l="1"/>
  <c r="I40" l="1"/>
  <c r="H41"/>
  <c r="I41" s="1"/>
  <c r="H33" i="1" l="1"/>
  <c r="O39"/>
  <c r="O40"/>
  <c r="O37"/>
  <c r="O36"/>
  <c r="O33"/>
  <c r="O19"/>
  <c r="J48"/>
  <c r="K48"/>
  <c r="J47"/>
  <c r="K47"/>
  <c r="N48"/>
  <c r="N47"/>
  <c r="L49"/>
  <c r="O49"/>
  <c r="P27" s="1"/>
  <c r="L24"/>
  <c r="L19"/>
  <c r="H49"/>
  <c r="I26" s="1"/>
  <c r="O34"/>
  <c r="H19"/>
  <c r="I25"/>
  <c r="O38" l="1"/>
  <c r="P38"/>
  <c r="P42" s="1"/>
  <c r="A35" l="1"/>
  <c r="O32"/>
  <c r="P41"/>
  <c r="L32" l="1"/>
  <c r="L46" s="1"/>
  <c r="M27"/>
  <c r="I27"/>
  <c r="O21"/>
  <c r="O13"/>
  <c r="P26"/>
  <c r="P25"/>
  <c r="P24"/>
  <c r="P23"/>
  <c r="P22"/>
  <c r="P20"/>
  <c r="P15"/>
  <c r="P16"/>
  <c r="P17"/>
  <c r="P18"/>
  <c r="P19"/>
  <c r="P14"/>
  <c r="M26"/>
  <c r="M25"/>
  <c r="L21"/>
  <c r="M22"/>
  <c r="M23"/>
  <c r="M20"/>
  <c r="L13"/>
  <c r="M15"/>
  <c r="M16"/>
  <c r="M17"/>
  <c r="M18"/>
  <c r="M19"/>
  <c r="M14"/>
  <c r="P13" l="1"/>
  <c r="M24"/>
  <c r="M21" s="1"/>
  <c r="P21"/>
  <c r="O12"/>
  <c r="O30" s="1"/>
  <c r="L12"/>
  <c r="L30" s="1"/>
  <c r="M13"/>
  <c r="O47" l="1"/>
  <c r="P12"/>
  <c r="P30" s="1"/>
  <c r="P47" s="1"/>
  <c r="M12"/>
  <c r="I20" l="1"/>
  <c r="I22" l="1"/>
  <c r="I17"/>
  <c r="I18"/>
  <c r="I14"/>
  <c r="I23"/>
  <c r="I16"/>
  <c r="I15"/>
  <c r="I19"/>
  <c r="H21"/>
  <c r="H13"/>
  <c r="I24" l="1"/>
  <c r="I21" s="1"/>
  <c r="I13"/>
  <c r="H12"/>
  <c r="H30" s="1"/>
  <c r="I12" l="1"/>
  <c r="I30" s="1"/>
</calcChain>
</file>

<file path=xl/sharedStrings.xml><?xml version="1.0" encoding="utf-8"?>
<sst xmlns="http://schemas.openxmlformats.org/spreadsheetml/2006/main" count="682" uniqueCount="99">
  <si>
    <r>
      <t>№</t>
    </r>
    <r>
      <rPr>
        <sz val="12"/>
        <color theme="1"/>
        <rFont val="Times New Roman"/>
        <family val="1"/>
        <charset val="204"/>
      </rPr>
      <t> </t>
    </r>
  </si>
  <si>
    <t>з/п</t>
  </si>
  <si>
    <t>Показник</t>
  </si>
  <si>
    <t>Код рядка</t>
  </si>
  <si>
    <t>Фактично</t>
  </si>
  <si>
    <t>Передбачено діючим тарифом</t>
  </si>
  <si>
    <t>попередній до базового рік ____</t>
  </si>
  <si>
    <t>усього, тис. грн</t>
  </si>
  <si>
    <r>
      <t>грн/м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</si>
  <si>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>грн/т</t>
  </si>
  <si>
    <t>А</t>
  </si>
  <si>
    <t>Б</t>
  </si>
  <si>
    <t>В</t>
  </si>
  <si>
    <t>Виробнича собівартість, усього, зокрема:</t>
  </si>
  <si>
    <t>прямі матеріальні витрати, зокрема:</t>
  </si>
  <si>
    <t>паливно-мастильні матеріали</t>
  </si>
  <si>
    <t>електроенергія на технологічні потреби</t>
  </si>
  <si>
    <t>доставка ґрунту**</t>
  </si>
  <si>
    <t>матеріальні витрати для збирання, транспортування та знезараження фільтрату**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</si>
  <si>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</si>
  <si>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</si>
  <si>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</si>
  <si>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загальнообов'язкове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</si>
  <si>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пов'язаних із наданням послуги</t>
  </si>
  <si>
    <t>інші прямі витрати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</si>
  <si>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</si>
  <si>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</si>
  <si>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</si>
  <si>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</si>
  <si>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</si>
  <si>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собівартості*</t>
  </si>
  <si>
    <t>Витрати на покриття втрат</t>
  </si>
  <si>
    <t>Планований прибуток*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</si>
  <si>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</si>
  <si>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</si>
  <si>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</si>
  <si>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</si>
  <si>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</si>
  <si>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</si>
  <si>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послуг з поводження з побутовими відходами для споживачів</t>
  </si>
  <si>
    <t>Тариф на послуги з поводження з побутовими відходами</t>
  </si>
  <si>
    <t>(керівник)</t>
  </si>
  <si>
    <t>__________ </t>
  </si>
  <si>
    <t>(підпис)</t>
  </si>
  <si>
    <t>(ініціали, прізвище)</t>
  </si>
  <si>
    <t>"___" ______________ 20__ року</t>
  </si>
  <si>
    <t>Примітка.</t>
  </si>
  <si>
    <t>Розрахунок повної собівартості та тарифів здійснюється окремо за послугами з вивезення, перероблення та захоронення побутових відходів.</t>
  </si>
  <si>
    <r>
      <t>__________</t>
    </r>
    <r>
      <rPr>
        <sz val="12"/>
        <color rgb="FF333333"/>
        <rFont val="Times New Roman"/>
        <family val="1"/>
        <charset val="204"/>
      </rPr>
      <t> </t>
    </r>
  </si>
  <si>
    <r>
      <t>* Без урахування списання безнадійної дебіторської заборгованості та нарахування резерву сумнівних боргів.</t>
    </r>
    <r>
      <rPr>
        <sz val="12"/>
        <color rgb="FF333333"/>
        <rFont val="Times New Roman"/>
        <family val="1"/>
        <charset val="204"/>
      </rPr>
      <t> </t>
    </r>
  </si>
  <si>
    <t>** Заповнюється під час розрахунку повної собівартості та тарифів на послуги із захоронення побутових відходів.</t>
  </si>
  <si>
    <t>Додаток 33 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
послуги, поданих для їх встановлення 
(підпункт 1 пункту 10 розділу ІІ)</t>
  </si>
  <si>
    <t>8.1</t>
  </si>
  <si>
    <t>8.2</t>
  </si>
  <si>
    <t>8.3</t>
  </si>
  <si>
    <t>8.4</t>
  </si>
  <si>
    <t>8.5</t>
  </si>
  <si>
    <t>8.6</t>
  </si>
  <si>
    <t>1.1</t>
  </si>
  <si>
    <t>1.2</t>
  </si>
  <si>
    <t>1.3</t>
  </si>
  <si>
    <t>1.4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</si>
  <si>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</si>
  <si>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</si>
  <si>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</si>
  <si>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</si>
  <si>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</si>
  <si>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</si>
  <si>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</si>
  <si>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</si>
  <si>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запчастини</t>
  </si>
  <si>
    <t>населення</t>
  </si>
  <si>
    <t>бюджетні установи</t>
  </si>
  <si>
    <t>СПД та інші</t>
  </si>
  <si>
    <t>населення, грн/м3</t>
  </si>
  <si>
    <t>бюджетні установи, грн/м3</t>
  </si>
  <si>
    <t>8.3.1.</t>
  </si>
  <si>
    <t>8.3.2</t>
  </si>
  <si>
    <t>9.1</t>
  </si>
  <si>
    <t>9.2</t>
  </si>
  <si>
    <t>10.1</t>
  </si>
  <si>
    <t>10.2</t>
  </si>
  <si>
    <t>11.1</t>
  </si>
  <si>
    <t>11.2</t>
  </si>
  <si>
    <t>Андрій ШАЦЬКИХ</t>
  </si>
  <si>
    <t>9.3</t>
  </si>
  <si>
    <t>10.3</t>
  </si>
  <si>
    <t>11.3</t>
  </si>
  <si>
    <t>Розрахунок повної собівартості та тарифів на послуги з поводження з побутовими відходами (без контейнерна схема навантаження)(без податку на додану вартість)</t>
  </si>
  <si>
    <t>базовий період рік _жовтень 2020 - вересень 2021</t>
  </si>
  <si>
    <t>Планований період рік _2022___</t>
  </si>
  <si>
    <r>
      <t>Обсяг послуг з поводження з побутовими відходами (тис. м</t>
    </r>
    <r>
      <rPr>
        <b/>
        <vertAlign val="superscript"/>
        <sz val="11"/>
        <color theme="1"/>
        <rFont val="Times New Roman"/>
        <family val="1"/>
        <charset val="204"/>
      </rPr>
      <t>-3</t>
    </r>
    <r>
      <rPr>
        <sz val="11"/>
        <color theme="1"/>
        <rFont val="Times New Roman"/>
        <family val="1"/>
        <charset val="204"/>
      </rPr>
      <t>):</t>
    </r>
  </si>
  <si>
    <t>Розрахунок повної собівартості та тарифів на послуги з поводження з побутовими відходами ( контейнерна схема навантаження)(без податку на додану вартість)</t>
  </si>
  <si>
    <t>інші споживачі</t>
  </si>
  <si>
    <t>____Директор_______ </t>
  </si>
  <si>
    <t>Розрахунок повної собівартості та тарифів на послуги з поводження з побутовими відходами ( збір відходів контейнерна схема навантаження)(без податку на додану вартість)</t>
  </si>
  <si>
    <t>Розрахунок повної собівартості та тарифів на послуги з поводження з побутовими відходами ( великогабаритні відходи )(без податку на додану вартість)</t>
  </si>
  <si>
    <t>Розрахунок повної собівартості та тарифів на послуги з поводження з побутовими відходами ( захоронення відходів)(без податку на додану вартість)</t>
  </si>
  <si>
    <t>Розрахунок повної собівартості та тарифів на послуги з поводження з побутовими відходами ( ремонтні відходи  )(без податку на додану вартість)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</si>
</sst>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2" fontId="13" fillId="0" borderId="2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2" fontId="10" fillId="0" borderId="2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0" fillId="0" borderId="2" xfId="0" applyBorder="1" applyAlignment="1">
      <alignment vertical="top" wrapText="1"/>
    </xf>
    <xf numFmtId="2" fontId="5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view="pageBreakPreview" topLeftCell="A22" zoomScale="82" zoomScaleSheetLayoutView="82" workbookViewId="0">
      <selection activeCell="P26" sqref="P26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88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 ht="15.75">
      <c r="A8" s="9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9" t="s">
        <v>1</v>
      </c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24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597.00243</v>
      </c>
      <c r="I12" s="21">
        <f>I13+I20+I21+I25</f>
        <v>165.37463434903049</v>
      </c>
      <c r="J12" s="32"/>
      <c r="K12" s="32"/>
      <c r="L12" s="21">
        <f>L13+L20+L21+L25</f>
        <v>616.27041999999994</v>
      </c>
      <c r="M12" s="21">
        <f>M13+M20+M21+M25-0.01</f>
        <v>179.2425945317045</v>
      </c>
      <c r="N12" s="20"/>
      <c r="O12" s="21">
        <f>O13+O20+O21+O25</f>
        <v>860.51731000000007</v>
      </c>
      <c r="P12" s="21">
        <f>P13+P20+P21+P25</f>
        <v>248.41723729792147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103.82319</v>
      </c>
      <c r="I13" s="21">
        <f>SUM(I14:I19)</f>
        <v>28.7598864265928</v>
      </c>
      <c r="J13" s="32"/>
      <c r="K13" s="32"/>
      <c r="L13" s="21">
        <f>SUM(L14:L19)</f>
        <v>119.15615</v>
      </c>
      <c r="M13" s="21">
        <f>SUM(M14:M19)</f>
        <v>34.658566026759743</v>
      </c>
      <c r="N13" s="20"/>
      <c r="O13" s="21">
        <f>SUM(O14:O19)</f>
        <v>166.18162999999998</v>
      </c>
      <c r="P13" s="21">
        <f>SUM(P14:P19)</f>
        <v>47.973911662817549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>
        <v>87.986000000000004</v>
      </c>
      <c r="I14" s="21">
        <f>H14/$H$49</f>
        <v>24.37285318559557</v>
      </c>
      <c r="J14" s="32"/>
      <c r="K14" s="32"/>
      <c r="L14" s="21">
        <v>96.057850000000002</v>
      </c>
      <c r="M14" s="21">
        <f>L14/$L$49</f>
        <v>27.940037812681794</v>
      </c>
      <c r="N14" s="20"/>
      <c r="O14" s="21">
        <v>146.58412999999999</v>
      </c>
      <c r="P14" s="21">
        <f>O14/$O$49</f>
        <v>42.316434757505768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>
        <v>14.43633</v>
      </c>
      <c r="I15" s="21">
        <f>H15/$H$49</f>
        <v>3.9989833795013849</v>
      </c>
      <c r="J15" s="32"/>
      <c r="K15" s="32"/>
      <c r="L15" s="21">
        <v>17.5029</v>
      </c>
      <c r="M15" s="21">
        <f t="shared" ref="M15:M19" si="0">L15/$L$49</f>
        <v>5.091012216404887</v>
      </c>
      <c r="N15" s="20"/>
      <c r="O15" s="21">
        <v>14.0715</v>
      </c>
      <c r="P15" s="21">
        <f t="shared" ref="P15:P19" si="1">O15/$O$49</f>
        <v>4.0622113163972289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H16/$H$49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f>0.00171+1.39915</f>
        <v>1.40086</v>
      </c>
      <c r="I19" s="21">
        <f>H19/$H$49</f>
        <v>0.38804986149584486</v>
      </c>
      <c r="J19" s="32"/>
      <c r="K19" s="32"/>
      <c r="L19" s="21">
        <f>5.5954</f>
        <v>5.5953999999999997</v>
      </c>
      <c r="M19" s="21">
        <f t="shared" si="0"/>
        <v>1.6275159976730658</v>
      </c>
      <c r="N19" s="20"/>
      <c r="O19" s="21">
        <f>5.526</f>
        <v>5.5259999999999998</v>
      </c>
      <c r="P19" s="21">
        <f t="shared" si="1"/>
        <v>1.5952655889145495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343.55468999999999</v>
      </c>
      <c r="I20" s="21">
        <f>H20/H49</f>
        <v>95.167504155124661</v>
      </c>
      <c r="J20" s="32"/>
      <c r="K20" s="32"/>
      <c r="L20" s="21">
        <v>324.16500000000002</v>
      </c>
      <c r="M20" s="21">
        <f>L20/L49</f>
        <v>94.288830715532299</v>
      </c>
      <c r="N20" s="20"/>
      <c r="O20" s="21">
        <v>463.26</v>
      </c>
      <c r="P20" s="21">
        <f>O20/O49</f>
        <v>133.73556581986142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83.104159999999993</v>
      </c>
      <c r="I21" s="21">
        <f>I22+I23+I24</f>
        <v>23.020542936288088</v>
      </c>
      <c r="J21" s="32"/>
      <c r="K21" s="32"/>
      <c r="L21" s="21">
        <f>SUM(L22:L24)</f>
        <v>78.19583999999999</v>
      </c>
      <c r="M21" s="21">
        <f>SUM(M22:M24)</f>
        <v>22.74457242582897</v>
      </c>
      <c r="N21" s="20"/>
      <c r="O21" s="21">
        <f>SUM(O22:O24)</f>
        <v>109.88687999999999</v>
      </c>
      <c r="P21" s="21">
        <f>SUM(P22:P24)</f>
        <v>31.722540415704387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77.051689999999994</v>
      </c>
      <c r="I22" s="21">
        <f>H22/$H$49</f>
        <v>21.343958448753462</v>
      </c>
      <c r="J22" s="32"/>
      <c r="K22" s="32"/>
      <c r="L22" s="21">
        <v>71.316299999999998</v>
      </c>
      <c r="M22" s="21">
        <f>L22/L49</f>
        <v>20.743542757417103</v>
      </c>
      <c r="N22" s="20"/>
      <c r="O22" s="21">
        <v>101.91719999999999</v>
      </c>
      <c r="P22" s="21">
        <f>O22/$O$49</f>
        <v>29.421824480369512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6.0524699999999996</v>
      </c>
      <c r="I23" s="21">
        <f t="shared" ref="I23:I26" si="3">H23/$H$49</f>
        <v>1.6765844875346261</v>
      </c>
      <c r="J23" s="32"/>
      <c r="K23" s="32"/>
      <c r="L23" s="21">
        <v>6.1652399999999998</v>
      </c>
      <c r="M23" s="21">
        <f>L23/L49</f>
        <v>1.7932635253054101</v>
      </c>
      <c r="N23" s="20"/>
      <c r="O23" s="21">
        <v>7.9696800000000003</v>
      </c>
      <c r="P23" s="21">
        <f>O23/O49</f>
        <v>2.300715935334873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0"/>
      <c r="I24" s="21">
        <f t="shared" si="3"/>
        <v>0</v>
      </c>
      <c r="J24" s="32"/>
      <c r="K24" s="32"/>
      <c r="L24" s="21">
        <f>0.03485+0.67945</f>
        <v>0.71430000000000005</v>
      </c>
      <c r="M24" s="21">
        <f>L24/L49</f>
        <v>0.20776614310645727</v>
      </c>
      <c r="N24" s="20"/>
      <c r="O24" s="21"/>
      <c r="P24" s="21">
        <f>O24/O49</f>
        <v>0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66.520390000000006</v>
      </c>
      <c r="I25" s="21">
        <f t="shared" si="3"/>
        <v>18.426700831024935</v>
      </c>
      <c r="J25" s="32"/>
      <c r="K25" s="32"/>
      <c r="L25" s="21">
        <v>94.753429999999994</v>
      </c>
      <c r="M25" s="21">
        <f>L25/L49</f>
        <v>27.56062536358348</v>
      </c>
      <c r="N25" s="20"/>
      <c r="O25" s="21">
        <v>121.1888</v>
      </c>
      <c r="P25" s="21">
        <f>O25/O49</f>
        <v>34.98521939953811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117.68061</v>
      </c>
      <c r="I26" s="21">
        <f t="shared" si="3"/>
        <v>32.598506925207758</v>
      </c>
      <c r="J26" s="32"/>
      <c r="K26" s="32"/>
      <c r="L26" s="21">
        <v>105.20926</v>
      </c>
      <c r="M26" s="21">
        <f>L26/L49</f>
        <v>30.601878999418268</v>
      </c>
      <c r="N26" s="20"/>
      <c r="O26" s="21">
        <v>160.90589</v>
      </c>
      <c r="P26" s="21">
        <f>O26/O49</f>
        <v>46.450892032332561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>
        <v>47.147709999999996</v>
      </c>
      <c r="I27" s="21">
        <f>H27/H49</f>
        <v>13.060307479224376</v>
      </c>
      <c r="J27" s="32"/>
      <c r="K27" s="32"/>
      <c r="L27" s="21"/>
      <c r="M27" s="21">
        <f>L27/L49</f>
        <v>0</v>
      </c>
      <c r="N27" s="20"/>
      <c r="O27" s="21">
        <v>9.4425399999999993</v>
      </c>
      <c r="P27" s="21">
        <f>O27/O49</f>
        <v>2.725906466512702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761.83074999999997</v>
      </c>
      <c r="I30" s="21">
        <f>I12+I26+I27+I28+I29</f>
        <v>211.03344875346261</v>
      </c>
      <c r="J30" s="32"/>
      <c r="K30" s="32"/>
      <c r="L30" s="21">
        <f>L12+L26+L27+L28+L29</f>
        <v>721.47967999999992</v>
      </c>
      <c r="M30" s="21">
        <f>M12+M26+M27+M28+M29+0.01</f>
        <v>209.85447353112275</v>
      </c>
      <c r="N30" s="20"/>
      <c r="O30" s="21">
        <f>O12+O26+O27+O28+O29</f>
        <v>1030.86574</v>
      </c>
      <c r="P30" s="21">
        <f>P12+P26+P27+P28+P29</f>
        <v>297.59403579676672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</f>
        <v>72.373921249999995</v>
      </c>
      <c r="I32" s="21">
        <f>I33+I34</f>
        <v>20.048177631578948</v>
      </c>
      <c r="J32" s="32"/>
      <c r="K32" s="32"/>
      <c r="L32" s="21">
        <f>SUM(L33:L35)</f>
        <v>68.6535930223544</v>
      </c>
      <c r="M32" s="21">
        <f>M33+M34</f>
        <v>47.945451567655617</v>
      </c>
      <c r="N32" s="20"/>
      <c r="O32" s="21">
        <f>O33+O34+O35</f>
        <v>103.086574</v>
      </c>
      <c r="P32" s="21">
        <f>P33</f>
        <v>29.759403579676675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I30*H50*9.5%</f>
        <v>72.373921249999995</v>
      </c>
      <c r="I33" s="21">
        <f>H33/H50</f>
        <v>20.048177631578948</v>
      </c>
      <c r="J33" s="20"/>
      <c r="K33" s="20"/>
      <c r="L33" s="21">
        <f>M30*L50*9.5%</f>
        <v>68.26146315020361</v>
      </c>
      <c r="M33" s="21">
        <f>L33/L50</f>
        <v>19.936174985456663</v>
      </c>
      <c r="N33" s="20"/>
      <c r="O33" s="21">
        <f>P30*O50*10%</f>
        <v>103.086574</v>
      </c>
      <c r="P33" s="21">
        <f>O33/O50</f>
        <v>29.759403579676675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0"/>
      <c r="I34" s="21"/>
      <c r="J34" s="20"/>
      <c r="K34" s="20"/>
      <c r="L34" s="21">
        <f>M30*L51*13.347%</f>
        <v>0.39212987215078537</v>
      </c>
      <c r="M34" s="21">
        <f>L34/L51</f>
        <v>28.009276582198954</v>
      </c>
      <c r="N34" s="20"/>
      <c r="O34" s="21">
        <f>P34*O51</f>
        <v>0</v>
      </c>
      <c r="P34" s="21"/>
      <c r="Q34" s="11"/>
    </row>
    <row r="35" spans="1:17" hidden="1">
      <c r="A35" s="25">
        <f>P37+P38</f>
        <v>5.3566926443418019</v>
      </c>
      <c r="B35" s="10" t="s">
        <v>73</v>
      </c>
      <c r="C35" s="9"/>
      <c r="D35" s="11"/>
      <c r="E35" s="11"/>
      <c r="F35" s="11"/>
      <c r="G35" s="11"/>
      <c r="H35" s="20"/>
      <c r="I35" s="21"/>
      <c r="J35" s="20"/>
      <c r="K35" s="20"/>
      <c r="L35" s="21"/>
      <c r="M35" s="21"/>
      <c r="N35" s="20"/>
      <c r="O35" s="21"/>
      <c r="P35" s="21"/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</f>
        <v>13.027305824999999</v>
      </c>
      <c r="I36" s="21">
        <f>I37</f>
        <v>3.6086719736842103</v>
      </c>
      <c r="J36" s="32"/>
      <c r="K36" s="32"/>
      <c r="L36" s="21">
        <f>L37+L38</f>
        <v>7.1770000000000005</v>
      </c>
      <c r="M36" s="21">
        <f>M37+M38</f>
        <v>5.5817757009345801</v>
      </c>
      <c r="N36" s="20"/>
      <c r="O36" s="21">
        <f>O37+O38</f>
        <v>18.55558332</v>
      </c>
      <c r="P36" s="21">
        <f>P37</f>
        <v>5.3566926443418019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13.027305824999999</v>
      </c>
      <c r="I37" s="21">
        <f>H37/H50</f>
        <v>3.6086719736842103</v>
      </c>
      <c r="J37" s="20"/>
      <c r="K37" s="20"/>
      <c r="L37" s="21">
        <v>7.1280000000000001</v>
      </c>
      <c r="M37" s="21">
        <f>L37/L50</f>
        <v>2.0817757009345796</v>
      </c>
      <c r="N37" s="20"/>
      <c r="O37" s="21">
        <f>O33*18%</f>
        <v>18.55558332</v>
      </c>
      <c r="P37" s="21">
        <f>O37/O50</f>
        <v>5.3566926443418019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0"/>
      <c r="I38" s="21"/>
      <c r="J38" s="20"/>
      <c r="K38" s="20"/>
      <c r="L38" s="21">
        <v>4.9000000000000002E-2</v>
      </c>
      <c r="M38" s="21">
        <f>L38/L51</f>
        <v>3.5</v>
      </c>
      <c r="N38" s="20"/>
      <c r="O38" s="21">
        <f>O34*18%</f>
        <v>0</v>
      </c>
      <c r="P38" s="21">
        <f>P34/14</f>
        <v>0</v>
      </c>
      <c r="Q38" s="11"/>
    </row>
    <row r="39" spans="1:17" ht="30">
      <c r="A39" s="19" t="s">
        <v>53</v>
      </c>
      <c r="B39" s="10" t="s">
        <v>34</v>
      </c>
      <c r="C39" s="9">
        <v>25</v>
      </c>
      <c r="D39" s="11"/>
      <c r="E39" s="11"/>
      <c r="F39" s="31"/>
      <c r="G39" s="31"/>
      <c r="H39" s="21">
        <f>H32-H36</f>
        <v>59.346615424999996</v>
      </c>
      <c r="I39" s="21">
        <f>I32-I36</f>
        <v>16.439505657894738</v>
      </c>
      <c r="J39" s="32"/>
      <c r="K39" s="32"/>
      <c r="L39" s="21">
        <f>L40</f>
        <v>4.9050000000000002</v>
      </c>
      <c r="M39" s="21">
        <f>M40</f>
        <v>1.4267015706806285</v>
      </c>
      <c r="N39" s="20"/>
      <c r="O39" s="21">
        <f>O32-O36</f>
        <v>84.530990680000002</v>
      </c>
      <c r="P39" s="21">
        <f>O39/O50</f>
        <v>24.402710935334873</v>
      </c>
      <c r="Q39" s="11"/>
    </row>
    <row r="40" spans="1:17">
      <c r="A40" s="19" t="s">
        <v>54</v>
      </c>
      <c r="B40" s="10" t="s">
        <v>35</v>
      </c>
      <c r="C40" s="9">
        <v>26</v>
      </c>
      <c r="D40" s="11"/>
      <c r="E40" s="11"/>
      <c r="F40" s="31"/>
      <c r="G40" s="31"/>
      <c r="H40" s="21">
        <f>H39*15%</f>
        <v>8.9019923137499983</v>
      </c>
      <c r="I40" s="21">
        <f>H40/H49</f>
        <v>2.4659258486842099</v>
      </c>
      <c r="J40" s="32"/>
      <c r="K40" s="32"/>
      <c r="L40" s="21">
        <v>4.9050000000000002</v>
      </c>
      <c r="M40" s="21">
        <f>L40/L49</f>
        <v>1.4267015706806285</v>
      </c>
      <c r="N40" s="20"/>
      <c r="O40" s="21">
        <f>O39*15%</f>
        <v>12.679648602</v>
      </c>
      <c r="P40" s="21">
        <f>O40/O50</f>
        <v>3.6604066403002311</v>
      </c>
      <c r="Q40" s="11"/>
    </row>
    <row r="41" spans="1:17" hidden="1">
      <c r="A41" s="19" t="s">
        <v>76</v>
      </c>
      <c r="B41" s="10" t="s">
        <v>71</v>
      </c>
      <c r="C41" s="9"/>
      <c r="D41" s="11"/>
      <c r="E41" s="11"/>
      <c r="F41" s="11"/>
      <c r="G41" s="11"/>
      <c r="H41" s="20"/>
      <c r="I41" s="21"/>
      <c r="J41" s="20"/>
      <c r="K41" s="20"/>
      <c r="L41" s="21"/>
      <c r="M41" s="21"/>
      <c r="N41" s="20"/>
      <c r="O41" s="21"/>
      <c r="P41" s="21">
        <f>O41/3424</f>
        <v>0</v>
      </c>
      <c r="Q41" s="11"/>
    </row>
    <row r="42" spans="1:17" hidden="1">
      <c r="A42" s="19" t="s">
        <v>77</v>
      </c>
      <c r="B42" s="10" t="s">
        <v>72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P38/14</f>
        <v>0</v>
      </c>
      <c r="Q42" s="11"/>
    </row>
    <row r="43" spans="1:17" ht="30" hidden="1">
      <c r="A43" s="19" t="s">
        <v>55</v>
      </c>
      <c r="B43" s="10" t="s">
        <v>36</v>
      </c>
      <c r="C43" s="9">
        <v>27</v>
      </c>
      <c r="D43" s="11"/>
      <c r="E43" s="11"/>
      <c r="F43" s="31"/>
      <c r="G43" s="31"/>
      <c r="H43" s="20"/>
      <c r="I43" s="21"/>
      <c r="J43" s="32"/>
      <c r="K43" s="32"/>
      <c r="L43" s="21"/>
      <c r="M43" s="21"/>
      <c r="N43" s="20"/>
      <c r="O43" s="21"/>
      <c r="P43" s="21"/>
      <c r="Q43" s="11"/>
    </row>
    <row r="44" spans="1:17" ht="45" hidden="1">
      <c r="A44" s="19" t="s">
        <v>56</v>
      </c>
      <c r="B44" s="10" t="s">
        <v>37</v>
      </c>
      <c r="C44" s="9">
        <v>28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30" hidden="1">
      <c r="A45" s="19" t="s">
        <v>57</v>
      </c>
      <c r="B45" s="10" t="s">
        <v>38</v>
      </c>
      <c r="C45" s="9">
        <v>29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60">
      <c r="A46" s="19">
        <v>9</v>
      </c>
      <c r="B46" s="10" t="s">
        <v>39</v>
      </c>
      <c r="C46" s="9">
        <v>30</v>
      </c>
      <c r="D46" s="11"/>
      <c r="E46" s="11"/>
      <c r="F46" s="31"/>
      <c r="G46" s="31"/>
      <c r="H46" s="21">
        <f>H30+H32</f>
        <v>834.20467124999993</v>
      </c>
      <c r="I46" s="21">
        <f>H46/H49</f>
        <v>231.08162638504155</v>
      </c>
      <c r="J46" s="32"/>
      <c r="K46" s="32"/>
      <c r="L46" s="21">
        <f>L30+L32</f>
        <v>790.13327302235427</v>
      </c>
      <c r="M46" s="21">
        <f>M30+M32</f>
        <v>257.79992509877837</v>
      </c>
      <c r="N46" s="20"/>
      <c r="O46" s="21">
        <f>O47+O48</f>
        <v>1133.9523139999999</v>
      </c>
      <c r="P46" s="21">
        <f>O46/O49</f>
        <v>327.35343937644336</v>
      </c>
      <c r="Q46" s="11"/>
    </row>
    <row r="47" spans="1:17">
      <c r="A47" s="19" t="s">
        <v>78</v>
      </c>
      <c r="B47" s="10" t="s">
        <v>71</v>
      </c>
      <c r="C47" s="9"/>
      <c r="D47" s="11"/>
      <c r="E47" s="11"/>
      <c r="F47" s="11"/>
      <c r="G47" s="11"/>
      <c r="H47" s="21"/>
      <c r="I47" s="21">
        <f>I30+I33</f>
        <v>231.08162638504155</v>
      </c>
      <c r="J47" s="21">
        <f t="shared" ref="J47:K47" si="4">J30+J33</f>
        <v>0</v>
      </c>
      <c r="K47" s="21">
        <f t="shared" si="4"/>
        <v>0</v>
      </c>
      <c r="L47" s="21"/>
      <c r="M47" s="21">
        <f>M30+M33</f>
        <v>229.79064851657941</v>
      </c>
      <c r="N47" s="21">
        <f t="shared" ref="N47:O47" si="5">N30+N33</f>
        <v>0</v>
      </c>
      <c r="O47" s="21">
        <f t="shared" si="5"/>
        <v>1133.9523139999999</v>
      </c>
      <c r="P47" s="21">
        <f>P30+P33</f>
        <v>327.35343937644342</v>
      </c>
      <c r="Q47" s="11"/>
    </row>
    <row r="48" spans="1:17">
      <c r="A48" s="19" t="s">
        <v>79</v>
      </c>
      <c r="B48" s="10" t="s">
        <v>72</v>
      </c>
      <c r="C48" s="9"/>
      <c r="D48" s="11"/>
      <c r="E48" s="11"/>
      <c r="F48" s="11"/>
      <c r="G48" s="11"/>
      <c r="H48" s="21"/>
      <c r="I48" s="21"/>
      <c r="J48" s="21">
        <f t="shared" ref="J48:K48" si="6">J30+J34</f>
        <v>0</v>
      </c>
      <c r="K48" s="21">
        <f t="shared" si="6"/>
        <v>0</v>
      </c>
      <c r="L48" s="21"/>
      <c r="M48" s="21">
        <f>M30+M34</f>
        <v>237.86375011332171</v>
      </c>
      <c r="N48" s="21">
        <f t="shared" ref="N48" si="7">N30+N34</f>
        <v>0</v>
      </c>
      <c r="O48" s="21"/>
      <c r="P48" s="21"/>
      <c r="Q48" s="11"/>
    </row>
    <row r="49" spans="1:17" ht="62.25">
      <c r="A49" s="9">
        <v>10</v>
      </c>
      <c r="B49" s="10" t="s">
        <v>91</v>
      </c>
      <c r="C49" s="9">
        <v>31</v>
      </c>
      <c r="D49" s="11"/>
      <c r="E49" s="11"/>
      <c r="F49" s="31"/>
      <c r="G49" s="31"/>
      <c r="H49" s="20">
        <f>H50+H51</f>
        <v>3.61</v>
      </c>
      <c r="I49" s="21"/>
      <c r="J49" s="32"/>
      <c r="K49" s="32"/>
      <c r="L49" s="26">
        <f>L50+L51</f>
        <v>3.4379999999999997</v>
      </c>
      <c r="M49" s="21"/>
      <c r="N49" s="20"/>
      <c r="O49" s="26">
        <f>O50+O51</f>
        <v>3.464</v>
      </c>
      <c r="P49" s="21"/>
      <c r="Q49" s="11"/>
    </row>
    <row r="50" spans="1:17">
      <c r="A50" s="19" t="s">
        <v>80</v>
      </c>
      <c r="B50" s="10" t="s">
        <v>71</v>
      </c>
      <c r="C50" s="9"/>
      <c r="D50" s="11"/>
      <c r="E50" s="11"/>
      <c r="F50" s="11"/>
      <c r="G50" s="11"/>
      <c r="H50" s="20">
        <v>3.61</v>
      </c>
      <c r="I50" s="21"/>
      <c r="J50" s="20"/>
      <c r="K50" s="20"/>
      <c r="L50" s="26">
        <v>3.4239999999999999</v>
      </c>
      <c r="M50" s="21"/>
      <c r="N50" s="20"/>
      <c r="O50" s="26">
        <v>3.464</v>
      </c>
      <c r="P50" s="21"/>
      <c r="Q50" s="11"/>
    </row>
    <row r="51" spans="1:17">
      <c r="A51" s="19" t="s">
        <v>81</v>
      </c>
      <c r="B51" s="10" t="s">
        <v>72</v>
      </c>
      <c r="C51" s="9"/>
      <c r="D51" s="11"/>
      <c r="E51" s="11"/>
      <c r="F51" s="11"/>
      <c r="G51" s="11"/>
      <c r="H51" s="20"/>
      <c r="I51" s="21"/>
      <c r="J51" s="20"/>
      <c r="K51" s="20"/>
      <c r="L51" s="26">
        <v>1.4E-2</v>
      </c>
      <c r="M51" s="21"/>
      <c r="N51" s="20"/>
      <c r="O51" s="21"/>
      <c r="P51" s="21"/>
      <c r="Q51" s="11"/>
    </row>
    <row r="52" spans="1:17" ht="57">
      <c r="A52" s="12">
        <v>11</v>
      </c>
      <c r="B52" s="13" t="s">
        <v>40</v>
      </c>
      <c r="C52" s="12">
        <v>32</v>
      </c>
      <c r="D52" s="14"/>
      <c r="E52" s="14"/>
      <c r="F52" s="41"/>
      <c r="G52" s="41"/>
      <c r="H52" s="16"/>
      <c r="I52" s="17"/>
      <c r="J52" s="42"/>
      <c r="K52" s="42"/>
      <c r="L52" s="17"/>
      <c r="M52" s="17"/>
      <c r="N52" s="16"/>
      <c r="O52" s="17"/>
      <c r="P52" s="17"/>
      <c r="Q52" s="11"/>
    </row>
    <row r="53" spans="1:17">
      <c r="A53" s="15" t="s">
        <v>82</v>
      </c>
      <c r="B53" s="13" t="s">
        <v>74</v>
      </c>
      <c r="C53" s="12"/>
      <c r="D53" s="14"/>
      <c r="E53" s="14"/>
      <c r="F53" s="14"/>
      <c r="G53" s="14"/>
      <c r="H53" s="17"/>
      <c r="I53" s="17">
        <f>I47</f>
        <v>231.08162638504155</v>
      </c>
      <c r="J53" s="16"/>
      <c r="K53" s="16"/>
      <c r="L53" s="17"/>
      <c r="M53" s="17">
        <f>M47</f>
        <v>229.79064851657941</v>
      </c>
      <c r="N53" s="16"/>
      <c r="O53" s="17"/>
      <c r="P53" s="17">
        <f>P47</f>
        <v>327.35343937644342</v>
      </c>
      <c r="Q53" s="11"/>
    </row>
    <row r="54" spans="1:17" ht="28.5">
      <c r="A54" s="15" t="s">
        <v>83</v>
      </c>
      <c r="B54" s="13" t="s">
        <v>75</v>
      </c>
      <c r="C54" s="12"/>
      <c r="D54" s="14"/>
      <c r="E54" s="14"/>
      <c r="F54" s="14"/>
      <c r="G54" s="14"/>
      <c r="H54" s="16"/>
      <c r="I54" s="17"/>
      <c r="J54" s="16"/>
      <c r="K54" s="16"/>
      <c r="L54" s="17"/>
      <c r="M54" s="17">
        <f>M30+M34</f>
        <v>237.86375011332171</v>
      </c>
      <c r="N54" s="16"/>
      <c r="O54" s="17"/>
      <c r="P54" s="17"/>
      <c r="Q54" s="11"/>
    </row>
    <row r="55" spans="1:17" ht="36" customHeight="1">
      <c r="A55" s="43" t="s">
        <v>94</v>
      </c>
      <c r="B55" s="43"/>
      <c r="C55" s="43"/>
      <c r="D55" s="43"/>
      <c r="E55" s="43"/>
      <c r="F55" s="43"/>
      <c r="G55" s="43" t="s">
        <v>42</v>
      </c>
      <c r="H55" s="43"/>
      <c r="I55" s="43"/>
      <c r="J55" s="43"/>
      <c r="K55" s="43" t="s">
        <v>84</v>
      </c>
      <c r="L55" s="43"/>
      <c r="M55" s="43"/>
      <c r="N55" s="43"/>
      <c r="O55" s="43"/>
      <c r="P55" s="43"/>
      <c r="Q55" s="43"/>
    </row>
    <row r="56" spans="1:17">
      <c r="A56" s="44" t="s">
        <v>41</v>
      </c>
      <c r="B56" s="44"/>
      <c r="C56" s="44"/>
      <c r="D56" s="44"/>
      <c r="E56" s="44"/>
      <c r="F56" s="44"/>
      <c r="G56" s="44" t="s">
        <v>43</v>
      </c>
      <c r="H56" s="44"/>
      <c r="I56" s="44"/>
      <c r="J56" s="44"/>
      <c r="K56" s="44" t="s">
        <v>44</v>
      </c>
      <c r="L56" s="44"/>
      <c r="M56" s="44"/>
      <c r="N56" s="44"/>
      <c r="O56" s="44"/>
      <c r="P56" s="44"/>
      <c r="Q56" s="44"/>
    </row>
    <row r="57" spans="1:17" ht="15.75" customHeight="1">
      <c r="A57" s="39" t="s">
        <v>45</v>
      </c>
      <c r="B57" s="39"/>
      <c r="C57" s="39"/>
      <c r="D57" s="39"/>
      <c r="E57" s="39"/>
      <c r="F57" s="39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5.75">
      <c r="A59" s="3"/>
    </row>
    <row r="60" spans="1:17">
      <c r="A60" s="4"/>
      <c r="B60" s="5"/>
    </row>
    <row r="61" spans="1:17" ht="39.75" customHeight="1">
      <c r="A61" s="4" t="s">
        <v>46</v>
      </c>
      <c r="B61" s="37" t="s">
        <v>47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ht="15.75">
      <c r="A62" s="6" t="s">
        <v>48</v>
      </c>
    </row>
    <row r="63" spans="1:17" ht="15.75">
      <c r="A63" s="7" t="s">
        <v>49</v>
      </c>
    </row>
    <row r="64" spans="1:17">
      <c r="A64" s="7" t="s">
        <v>50</v>
      </c>
    </row>
    <row r="65" spans="1:1">
      <c r="A65" s="8"/>
    </row>
  </sheetData>
  <mergeCells count="83">
    <mergeCell ref="L1:Q5"/>
    <mergeCell ref="A7:Q7"/>
    <mergeCell ref="B61:Q61"/>
    <mergeCell ref="A57:F57"/>
    <mergeCell ref="G57:J57"/>
    <mergeCell ref="K57:Q57"/>
    <mergeCell ref="F52:G52"/>
    <mergeCell ref="J52:K52"/>
    <mergeCell ref="A55:F55"/>
    <mergeCell ref="A56:F56"/>
    <mergeCell ref="G55:J55"/>
    <mergeCell ref="G56:J56"/>
    <mergeCell ref="K55:Q55"/>
    <mergeCell ref="K56:Q56"/>
    <mergeCell ref="F45:G45"/>
    <mergeCell ref="J45:K45"/>
    <mergeCell ref="F46:G46"/>
    <mergeCell ref="J46:K46"/>
    <mergeCell ref="F49:G49"/>
    <mergeCell ref="J49:K49"/>
    <mergeCell ref="F40:G40"/>
    <mergeCell ref="J40:K40"/>
    <mergeCell ref="F43:G43"/>
    <mergeCell ref="J43:K43"/>
    <mergeCell ref="F44:G44"/>
    <mergeCell ref="J44:K44"/>
    <mergeCell ref="F32:G32"/>
    <mergeCell ref="J32:K32"/>
    <mergeCell ref="F36:G36"/>
    <mergeCell ref="J36:K36"/>
    <mergeCell ref="F39:G39"/>
    <mergeCell ref="J39:K39"/>
    <mergeCell ref="F29:G29"/>
    <mergeCell ref="J29:K29"/>
    <mergeCell ref="F30:G30"/>
    <mergeCell ref="J30:K30"/>
    <mergeCell ref="F31:G31"/>
    <mergeCell ref="J31:K31"/>
    <mergeCell ref="F26:G26"/>
    <mergeCell ref="J26:K26"/>
    <mergeCell ref="F27:G27"/>
    <mergeCell ref="J27:K27"/>
    <mergeCell ref="F28:G28"/>
    <mergeCell ref="J28:K28"/>
    <mergeCell ref="F23:G23"/>
    <mergeCell ref="J23:K23"/>
    <mergeCell ref="F24:G24"/>
    <mergeCell ref="J24:K24"/>
    <mergeCell ref="F25:G25"/>
    <mergeCell ref="J25:K25"/>
    <mergeCell ref="F20:G20"/>
    <mergeCell ref="J20:K20"/>
    <mergeCell ref="F21:G21"/>
    <mergeCell ref="J21:K21"/>
    <mergeCell ref="F22:G22"/>
    <mergeCell ref="J22:K22"/>
    <mergeCell ref="F17:G17"/>
    <mergeCell ref="J17:K17"/>
    <mergeCell ref="F18:G18"/>
    <mergeCell ref="J18:K18"/>
    <mergeCell ref="F19:G19"/>
    <mergeCell ref="J19:K19"/>
    <mergeCell ref="F14:G14"/>
    <mergeCell ref="J14:K14"/>
    <mergeCell ref="F15:G15"/>
    <mergeCell ref="J15:K15"/>
    <mergeCell ref="F16:G16"/>
    <mergeCell ref="J16:K16"/>
    <mergeCell ref="F11:G11"/>
    <mergeCell ref="J11:K11"/>
    <mergeCell ref="F12:G12"/>
    <mergeCell ref="J12:K12"/>
    <mergeCell ref="F13:G13"/>
    <mergeCell ref="J13:K13"/>
    <mergeCell ref="B8:B10"/>
    <mergeCell ref="C8:C10"/>
    <mergeCell ref="D8:K8"/>
    <mergeCell ref="L8:N9"/>
    <mergeCell ref="O8:Q9"/>
    <mergeCell ref="D9:G9"/>
    <mergeCell ref="H9:K9"/>
    <mergeCell ref="F10:G10"/>
    <mergeCell ref="J10:K10"/>
  </mergeCells>
  <pageMargins left="1.299212598425197" right="0.70866141732283472" top="0.55118110236220474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9"/>
  <sheetViews>
    <sheetView view="pageBreakPreview" zoomScale="82" zoomScaleSheetLayoutView="82" workbookViewId="0">
      <selection activeCell="P56" sqref="P56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92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 ht="15.75">
      <c r="A8" s="9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9" t="s">
        <v>1</v>
      </c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24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1495.8005599999999</v>
      </c>
      <c r="I12" s="21">
        <f>I13+I20+I21+I25</f>
        <v>50.003361636691849</v>
      </c>
      <c r="J12" s="32"/>
      <c r="K12" s="32"/>
      <c r="L12" s="21">
        <f>L13+L20+L21+L25</f>
        <v>1127.6280099999999</v>
      </c>
      <c r="M12" s="21">
        <f>M13+M20+M21+M25</f>
        <v>41.832171316219018</v>
      </c>
      <c r="N12" s="20"/>
      <c r="O12" s="21">
        <f>O13+O20+O21+O25</f>
        <v>2031.5358799999999</v>
      </c>
      <c r="P12" s="21">
        <f>P13+P20+P21+P25</f>
        <v>73.473268716094026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381.38921000000005</v>
      </c>
      <c r="I13" s="21">
        <f>I14+I15+I19</f>
        <v>12.749522297252124</v>
      </c>
      <c r="J13" s="32"/>
      <c r="K13" s="32"/>
      <c r="L13" s="21">
        <f>SUM(L14:L19)</f>
        <v>311.84042999999997</v>
      </c>
      <c r="M13" s="21">
        <f>SUM(M14:M19)</f>
        <v>11.568497922540434</v>
      </c>
      <c r="N13" s="20"/>
      <c r="O13" s="21">
        <f>SUM(O14:O19)</f>
        <v>506.87797999999998</v>
      </c>
      <c r="P13" s="21">
        <f>SUM(P14:P19)</f>
        <v>18.331934177215189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>
        <v>295.23926</v>
      </c>
      <c r="I14" s="21">
        <f>H14/$H$51</f>
        <v>9.8696015243698607</v>
      </c>
      <c r="J14" s="32"/>
      <c r="K14" s="32"/>
      <c r="L14" s="21">
        <v>218.29435000000001</v>
      </c>
      <c r="M14" s="21">
        <f>L14/$L$51</f>
        <v>8.0981729485086795</v>
      </c>
      <c r="N14" s="20"/>
      <c r="O14" s="21">
        <v>429.56596999999999</v>
      </c>
      <c r="P14" s="21">
        <f>O14/$O$51</f>
        <v>15.535839783001807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>
        <v>82.967590000000001</v>
      </c>
      <c r="I15" s="21">
        <f>H15/$H$51</f>
        <v>2.7735371398007622</v>
      </c>
      <c r="J15" s="32"/>
      <c r="K15" s="32"/>
      <c r="L15" s="21">
        <v>88.14</v>
      </c>
      <c r="M15" s="21">
        <f t="shared" ref="M15:M19" si="0">L15/$L$51</f>
        <v>3.2697729633476773</v>
      </c>
      <c r="N15" s="20"/>
      <c r="O15" s="21">
        <v>70.77</v>
      </c>
      <c r="P15" s="21">
        <f t="shared" ref="P15:P19" si="1">O15/$O$51</f>
        <v>2.5594936708860758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H16/$H$51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f>0.00335+3.17901</f>
        <v>3.1823600000000001</v>
      </c>
      <c r="I19" s="21">
        <f>H19/$H$51</f>
        <v>0.1063836330815003</v>
      </c>
      <c r="J19" s="32"/>
      <c r="K19" s="32"/>
      <c r="L19" s="21">
        <v>5.4060800000000002</v>
      </c>
      <c r="M19" s="21">
        <f t="shared" si="0"/>
        <v>0.20055201068407774</v>
      </c>
      <c r="N19" s="20"/>
      <c r="O19" s="21">
        <f>6.54201</f>
        <v>6.5420100000000003</v>
      </c>
      <c r="P19" s="21">
        <f t="shared" si="1"/>
        <v>0.23660072332730561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544.33330999999998</v>
      </c>
      <c r="I20" s="21">
        <f>H20/H51</f>
        <v>18.196607274185997</v>
      </c>
      <c r="J20" s="32"/>
      <c r="K20" s="32"/>
      <c r="L20" s="21">
        <v>521.01224999999999</v>
      </c>
      <c r="M20" s="21">
        <f>L20/L51</f>
        <v>19.328247885442941</v>
      </c>
      <c r="N20" s="20"/>
      <c r="O20" s="21">
        <v>867.50959999999998</v>
      </c>
      <c r="P20" s="21">
        <f>O20/O51</f>
        <v>31.374669077757684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490.23525000000001</v>
      </c>
      <c r="I21" s="21">
        <f>I22+I23+I24</f>
        <v>16.388154375877516</v>
      </c>
      <c r="J21" s="32"/>
      <c r="K21" s="32"/>
      <c r="L21" s="21">
        <f>SUM(L22:L24)</f>
        <v>142.13898</v>
      </c>
      <c r="M21" s="21">
        <f>SUM(M22:M24)</f>
        <v>5.2729997032200622</v>
      </c>
      <c r="N21" s="20"/>
      <c r="O21" s="21">
        <f>SUM(O22:O24)</f>
        <v>430.20779000000005</v>
      </c>
      <c r="P21" s="21">
        <f>SUM(P22:P24)</f>
        <v>15.559052079566005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119.75336</v>
      </c>
      <c r="I22" s="21">
        <f>H22/$H$51</f>
        <v>4.0032546633683221</v>
      </c>
      <c r="J22" s="32"/>
      <c r="K22" s="32"/>
      <c r="L22" s="21">
        <v>114.62269000000001</v>
      </c>
      <c r="M22" s="21">
        <f>L22/L51</f>
        <v>4.2522143493099867</v>
      </c>
      <c r="N22" s="20"/>
      <c r="O22" s="21">
        <v>190.85211000000001</v>
      </c>
      <c r="P22" s="21">
        <f>O22/$O$51</f>
        <v>6.9024271247739604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370.48189000000002</v>
      </c>
      <c r="I23" s="21">
        <f t="shared" ref="I23:I26" si="3">H23/$H$51</f>
        <v>12.384899712509194</v>
      </c>
      <c r="J23" s="32"/>
      <c r="K23" s="32"/>
      <c r="L23" s="21">
        <v>24.860040000000001</v>
      </c>
      <c r="M23" s="21">
        <f>L23/L51</f>
        <v>0.92224514022852055</v>
      </c>
      <c r="N23" s="20"/>
      <c r="O23" s="21">
        <v>239.35568000000001</v>
      </c>
      <c r="P23" s="21">
        <f>O23/O51</f>
        <v>8.6566249547920435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0"/>
      <c r="I24" s="21">
        <f t="shared" si="3"/>
        <v>0</v>
      </c>
      <c r="J24" s="32"/>
      <c r="K24" s="32"/>
      <c r="L24" s="21">
        <f>2.48625+0.17</f>
        <v>2.65625</v>
      </c>
      <c r="M24" s="21">
        <f>L24/L51</f>
        <v>9.8540213681555119E-2</v>
      </c>
      <c r="N24" s="20"/>
      <c r="O24" s="21"/>
      <c r="P24" s="21">
        <f>O24/O51</f>
        <v>0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79.842789999999994</v>
      </c>
      <c r="I25" s="21">
        <f t="shared" si="3"/>
        <v>2.6690776893762114</v>
      </c>
      <c r="J25" s="32"/>
      <c r="K25" s="32"/>
      <c r="L25" s="21">
        <v>152.63634999999999</v>
      </c>
      <c r="M25" s="21">
        <f>L25/L51</f>
        <v>5.6624258050155802</v>
      </c>
      <c r="N25" s="20"/>
      <c r="O25" s="21">
        <v>226.94050999999999</v>
      </c>
      <c r="P25" s="21">
        <f>O25/O51</f>
        <v>8.2076133815551522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270.33454999999998</v>
      </c>
      <c r="I26" s="21">
        <f t="shared" si="3"/>
        <v>9.0370578993113586</v>
      </c>
      <c r="J26" s="32"/>
      <c r="K26" s="32"/>
      <c r="L26" s="21">
        <v>245.37262000000001</v>
      </c>
      <c r="M26" s="21">
        <f>L26/L51</f>
        <v>9.1027088588811385</v>
      </c>
      <c r="N26" s="20"/>
      <c r="O26" s="21">
        <v>379.83730000000003</v>
      </c>
      <c r="P26" s="21">
        <f>O26/O51</f>
        <v>13.737334538878843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>
        <v>8.8832299999999993</v>
      </c>
      <c r="I27" s="21">
        <f>H27/H51</f>
        <v>0.29695894898709629</v>
      </c>
      <c r="J27" s="32"/>
      <c r="K27" s="32"/>
      <c r="L27" s="21"/>
      <c r="M27" s="21">
        <f>L27/L51</f>
        <v>0</v>
      </c>
      <c r="N27" s="20"/>
      <c r="O27" s="21">
        <v>22.286709999999999</v>
      </c>
      <c r="P27" s="21">
        <f>O27/O51</f>
        <v>0.80602929475587692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1775.0183399999999</v>
      </c>
      <c r="I30" s="21">
        <f>I27+I26+I12</f>
        <v>59.337378484990303</v>
      </c>
      <c r="J30" s="32"/>
      <c r="K30" s="32"/>
      <c r="L30" s="21">
        <f>L12+L26+L27+L28+L29</f>
        <v>1373.00063</v>
      </c>
      <c r="M30" s="21">
        <f>M12+M26+M27+M28+M29-0.01</f>
        <v>50.924880175100157</v>
      </c>
      <c r="N30" s="20"/>
      <c r="O30" s="21">
        <f>O12+O26+O27+O28+O29</f>
        <v>2433.6598899999999</v>
      </c>
      <c r="P30" s="21">
        <f>P12+P26+P27+P28+P29</f>
        <v>88.01663254972874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H33+H34+H35</f>
        <v>390.60490834342454</v>
      </c>
      <c r="I32" s="21">
        <f>I33+I34+I35</f>
        <v>43.316286294042925</v>
      </c>
      <c r="J32" s="32"/>
      <c r="K32" s="32"/>
      <c r="L32" s="21">
        <f>SUM(L33:L35)</f>
        <v>276.75431680439232</v>
      </c>
      <c r="M32" s="21">
        <f>M33+M34+M35</f>
        <v>37.175162527823119</v>
      </c>
      <c r="N32" s="20"/>
      <c r="O32" s="21">
        <f>O33+O34+O35</f>
        <v>330.96366237879204</v>
      </c>
      <c r="P32" s="21">
        <f>P33+P34+P35</f>
        <v>64.24214176130198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I30*H52*10%</f>
        <v>116.49114144173298</v>
      </c>
      <c r="I33" s="21">
        <f>H33/H52</f>
        <v>5.9337378484990309</v>
      </c>
      <c r="J33" s="20"/>
      <c r="K33" s="20"/>
      <c r="L33" s="21">
        <f>M30*L52*10%</f>
        <v>85.513058790028197</v>
      </c>
      <c r="M33" s="21">
        <f>L33/L52</f>
        <v>5.092488017510016</v>
      </c>
      <c r="N33" s="20"/>
      <c r="O33" s="21">
        <f>P30*O52*10%</f>
        <v>214.4437235441591</v>
      </c>
      <c r="P33" s="21">
        <f>O33/O52</f>
        <v>8.8016632549728744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1">
        <f>I30*H53*14%</f>
        <v>9.935450653526777</v>
      </c>
      <c r="I34" s="21">
        <f>H34/H53</f>
        <v>8.3072329878986437</v>
      </c>
      <c r="J34" s="20"/>
      <c r="K34" s="20"/>
      <c r="L34" s="21">
        <f>M30*L53*14%</f>
        <v>24.953191285799079</v>
      </c>
      <c r="M34" s="21">
        <f>L34/L53</f>
        <v>7.1294832245140229</v>
      </c>
      <c r="N34" s="20"/>
      <c r="O34" s="21">
        <f>P30*O53*14%</f>
        <v>10.079664759594936</v>
      </c>
      <c r="P34" s="21">
        <f>O34/O53</f>
        <v>12.322328556962026</v>
      </c>
      <c r="Q34" s="11"/>
    </row>
    <row r="35" spans="1:17" ht="16.5" customHeight="1">
      <c r="A35" s="25"/>
      <c r="B35" s="10" t="s">
        <v>93</v>
      </c>
      <c r="C35" s="9"/>
      <c r="D35" s="11"/>
      <c r="E35" s="11"/>
      <c r="F35" s="11"/>
      <c r="G35" s="11"/>
      <c r="H35" s="21">
        <f>I30*H54*49%</f>
        <v>264.17831624816478</v>
      </c>
      <c r="I35" s="21">
        <f>H35/H54</f>
        <v>29.075315457645253</v>
      </c>
      <c r="J35" s="20"/>
      <c r="K35" s="20"/>
      <c r="L35" s="21">
        <f>M30*L54*49%</f>
        <v>166.28806672856504</v>
      </c>
      <c r="M35" s="21">
        <f>L35/L54</f>
        <v>24.953191285799075</v>
      </c>
      <c r="N35" s="20"/>
      <c r="O35" s="21">
        <f>P30*O54*49%</f>
        <v>106.44027407503796</v>
      </c>
      <c r="P35" s="21">
        <f>O35/O54-0.01</f>
        <v>43.118149949367087</v>
      </c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H37+H38+H39</f>
        <v>70.30888350181641</v>
      </c>
      <c r="I36" s="21">
        <f>H36/H51</f>
        <v>2.350367169279147</v>
      </c>
      <c r="J36" s="32"/>
      <c r="K36" s="32"/>
      <c r="L36" s="21">
        <f>L37+L38+L39</f>
        <v>49.81577702479062</v>
      </c>
      <c r="M36" s="21">
        <f>M37+M38+M39</f>
        <v>6.6915292550081604</v>
      </c>
      <c r="N36" s="20"/>
      <c r="O36" s="21">
        <f>O37+O38+O39</f>
        <v>59.573459228182557</v>
      </c>
      <c r="P36" s="21">
        <f>P37+P38+P39</f>
        <v>11.565385517034358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20.968405459511935</v>
      </c>
      <c r="I37" s="21">
        <f>H37/H52</f>
        <v>1.0680728127298253</v>
      </c>
      <c r="J37" s="20"/>
      <c r="K37" s="20"/>
      <c r="L37" s="21">
        <f>L33*18%</f>
        <v>15.392350582205076</v>
      </c>
      <c r="M37" s="21">
        <f>L37/L52</f>
        <v>0.91664784315180292</v>
      </c>
      <c r="N37" s="20"/>
      <c r="O37" s="21">
        <f>O33*18%</f>
        <v>38.599870237948636</v>
      </c>
      <c r="P37" s="21">
        <f>O37/O52</f>
        <v>1.5842993858951171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1">
        <f t="shared" ref="H38:H39" si="4">H34*18%</f>
        <v>1.7883811176348199</v>
      </c>
      <c r="I38" s="21">
        <f t="shared" ref="I38:I39" si="5">H38/H53</f>
        <v>1.4953019378217558</v>
      </c>
      <c r="J38" s="20"/>
      <c r="K38" s="20"/>
      <c r="L38" s="21">
        <f t="shared" ref="L38:L39" si="6">L34*18%</f>
        <v>4.4915744314438344</v>
      </c>
      <c r="M38" s="21">
        <f t="shared" ref="M38:M39" si="7">L38/L53</f>
        <v>1.2833069804125241</v>
      </c>
      <c r="N38" s="20"/>
      <c r="O38" s="21">
        <f>O34*18%</f>
        <v>1.8143396567270884</v>
      </c>
      <c r="P38" s="21">
        <f>O38/O53</f>
        <v>2.2180191402531646</v>
      </c>
      <c r="Q38" s="11"/>
    </row>
    <row r="39" spans="1:17">
      <c r="A39" s="19"/>
      <c r="B39" s="10" t="s">
        <v>93</v>
      </c>
      <c r="C39" s="9"/>
      <c r="D39" s="11"/>
      <c r="E39" s="11"/>
      <c r="F39" s="11"/>
      <c r="G39" s="11"/>
      <c r="H39" s="21">
        <f t="shared" si="4"/>
        <v>47.552096924669655</v>
      </c>
      <c r="I39" s="21">
        <f t="shared" si="5"/>
        <v>5.2335567823761453</v>
      </c>
      <c r="J39" s="20"/>
      <c r="K39" s="20"/>
      <c r="L39" s="21">
        <f t="shared" si="6"/>
        <v>29.931852011141707</v>
      </c>
      <c r="M39" s="21">
        <f t="shared" si="7"/>
        <v>4.4915744314438335</v>
      </c>
      <c r="N39" s="20"/>
      <c r="O39" s="21">
        <f>O35*18%</f>
        <v>19.159249333506832</v>
      </c>
      <c r="P39" s="21">
        <f>O39/O54</f>
        <v>7.7630669908860748</v>
      </c>
      <c r="Q39" s="11"/>
    </row>
    <row r="40" spans="1:17" ht="30">
      <c r="A40" s="19" t="s">
        <v>53</v>
      </c>
      <c r="B40" s="10" t="s">
        <v>34</v>
      </c>
      <c r="C40" s="9">
        <v>25</v>
      </c>
      <c r="D40" s="11"/>
      <c r="E40" s="11"/>
      <c r="F40" s="31"/>
      <c r="G40" s="31"/>
      <c r="H40" s="21">
        <f>H32-H36</f>
        <v>320.29602484160813</v>
      </c>
      <c r="I40" s="21">
        <f>H40/H51</f>
        <v>10.707228215605005</v>
      </c>
      <c r="J40" s="32"/>
      <c r="K40" s="32"/>
      <c r="L40" s="21">
        <f>L32-L36</f>
        <v>226.93853977960168</v>
      </c>
      <c r="M40" s="21">
        <f>M32-M36</f>
        <v>30.483633272814959</v>
      </c>
      <c r="N40" s="20"/>
      <c r="O40" s="21">
        <f>O32-O36</f>
        <v>271.39020315060947</v>
      </c>
      <c r="P40" s="21">
        <f>O40/O52</f>
        <v>11.138983875825376</v>
      </c>
      <c r="Q40" s="11"/>
    </row>
    <row r="41" spans="1:17">
      <c r="A41" s="19" t="s">
        <v>54</v>
      </c>
      <c r="B41" s="10" t="s">
        <v>35</v>
      </c>
      <c r="C41" s="9">
        <v>26</v>
      </c>
      <c r="D41" s="11"/>
      <c r="E41" s="11"/>
      <c r="F41" s="31"/>
      <c r="G41" s="31"/>
      <c r="H41" s="21">
        <f>H40*15%</f>
        <v>48.044403726241221</v>
      </c>
      <c r="I41" s="21">
        <f>H41/H51</f>
        <v>1.6060842323407507</v>
      </c>
      <c r="J41" s="32"/>
      <c r="K41" s="32"/>
      <c r="L41" s="21">
        <f>L40*15%</f>
        <v>34.040780966940254</v>
      </c>
      <c r="M41" s="21">
        <f>L41/O51</f>
        <v>1.2311313188766817</v>
      </c>
      <c r="N41" s="20"/>
      <c r="O41" s="21">
        <f>O40*15%</f>
        <v>40.70853047259142</v>
      </c>
      <c r="P41" s="21">
        <f>P36/O51</f>
        <v>0.41827795721643241</v>
      </c>
      <c r="Q41" s="11"/>
    </row>
    <row r="42" spans="1:17" hidden="1">
      <c r="A42" s="19" t="s">
        <v>76</v>
      </c>
      <c r="B42" s="10" t="s">
        <v>71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O42/3424</f>
        <v>0</v>
      </c>
      <c r="Q42" s="11"/>
    </row>
    <row r="43" spans="1:17" hidden="1">
      <c r="A43" s="19" t="s">
        <v>77</v>
      </c>
      <c r="B43" s="10" t="s">
        <v>72</v>
      </c>
      <c r="C43" s="9"/>
      <c r="D43" s="11"/>
      <c r="E43" s="11"/>
      <c r="F43" s="11"/>
      <c r="G43" s="11"/>
      <c r="H43" s="20"/>
      <c r="I43" s="21"/>
      <c r="J43" s="20"/>
      <c r="K43" s="20"/>
      <c r="L43" s="21"/>
      <c r="M43" s="21"/>
      <c r="N43" s="20"/>
      <c r="O43" s="21"/>
      <c r="P43" s="21">
        <f>P38/14</f>
        <v>0.15842993858951177</v>
      </c>
      <c r="Q43" s="11"/>
    </row>
    <row r="44" spans="1:17" ht="30" hidden="1">
      <c r="A44" s="19" t="s">
        <v>55</v>
      </c>
      <c r="B44" s="10" t="s">
        <v>36</v>
      </c>
      <c r="C44" s="9">
        <v>27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45" hidden="1">
      <c r="A45" s="19" t="s">
        <v>56</v>
      </c>
      <c r="B45" s="10" t="s">
        <v>37</v>
      </c>
      <c r="C45" s="9">
        <v>28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30" hidden="1">
      <c r="A46" s="19" t="s">
        <v>57</v>
      </c>
      <c r="B46" s="10" t="s">
        <v>38</v>
      </c>
      <c r="C46" s="9">
        <v>29</v>
      </c>
      <c r="D46" s="11"/>
      <c r="E46" s="11"/>
      <c r="F46" s="31"/>
      <c r="G46" s="31"/>
      <c r="H46" s="20"/>
      <c r="I46" s="21"/>
      <c r="J46" s="32"/>
      <c r="K46" s="32"/>
      <c r="L46" s="21"/>
      <c r="M46" s="21"/>
      <c r="N46" s="20"/>
      <c r="O46" s="21"/>
      <c r="P46" s="21"/>
      <c r="Q46" s="11"/>
    </row>
    <row r="47" spans="1:17" ht="60">
      <c r="A47" s="19">
        <v>9</v>
      </c>
      <c r="B47" s="10" t="s">
        <v>39</v>
      </c>
      <c r="C47" s="9">
        <v>30</v>
      </c>
      <c r="D47" s="11"/>
      <c r="E47" s="11"/>
      <c r="F47" s="31"/>
      <c r="G47" s="31"/>
      <c r="H47" s="21">
        <f>H30+H32</f>
        <v>2165.6232483434242</v>
      </c>
      <c r="I47" s="21">
        <f>H47/H51</f>
        <v>72.394973869874448</v>
      </c>
      <c r="J47" s="32"/>
      <c r="K47" s="32"/>
      <c r="L47" s="21">
        <f>L30+L32</f>
        <v>1649.7549468043924</v>
      </c>
      <c r="M47" s="21">
        <f>L47/L51</f>
        <v>61.201771286703966</v>
      </c>
      <c r="N47" s="20"/>
      <c r="O47" s="21">
        <f>O30+O32-0.104</f>
        <v>2764.519552378792</v>
      </c>
      <c r="P47" s="21">
        <f>O47/O51</f>
        <v>99.982623955833333</v>
      </c>
      <c r="Q47" s="11"/>
    </row>
    <row r="48" spans="1:17">
      <c r="A48" s="19" t="s">
        <v>78</v>
      </c>
      <c r="B48" s="10" t="s">
        <v>71</v>
      </c>
      <c r="C48" s="9"/>
      <c r="D48" s="11"/>
      <c r="E48" s="11"/>
      <c r="F48" s="11"/>
      <c r="G48" s="11"/>
      <c r="H48" s="21"/>
      <c r="I48" s="21">
        <f>I30+I33</f>
        <v>65.271116333489331</v>
      </c>
      <c r="J48" s="21">
        <f t="shared" ref="J48:K48" si="8">J30+J33</f>
        <v>0</v>
      </c>
      <c r="K48" s="21">
        <f t="shared" si="8"/>
        <v>0</v>
      </c>
      <c r="L48" s="21"/>
      <c r="M48" s="21">
        <f>M30+M33-0.01</f>
        <v>56.007368192610173</v>
      </c>
      <c r="N48" s="21">
        <f t="shared" ref="N48" si="9">N30+N33</f>
        <v>0</v>
      </c>
      <c r="O48" s="21"/>
      <c r="P48" s="21">
        <f>P30+P33</f>
        <v>96.81829580470162</v>
      </c>
      <c r="Q48" s="11"/>
    </row>
    <row r="49" spans="1:17">
      <c r="A49" s="19" t="s">
        <v>79</v>
      </c>
      <c r="B49" s="10" t="s">
        <v>72</v>
      </c>
      <c r="C49" s="9"/>
      <c r="D49" s="11"/>
      <c r="E49" s="11"/>
      <c r="F49" s="11"/>
      <c r="G49" s="11"/>
      <c r="H49" s="21"/>
      <c r="I49" s="21">
        <f>I30+I34</f>
        <v>67.644611472888954</v>
      </c>
      <c r="J49" s="21">
        <f t="shared" ref="J49:K49" si="10">J30+J34</f>
        <v>0</v>
      </c>
      <c r="K49" s="21">
        <f t="shared" si="10"/>
        <v>0</v>
      </c>
      <c r="L49" s="21"/>
      <c r="M49" s="21">
        <f>M30+M34</f>
        <v>58.054363399614182</v>
      </c>
      <c r="N49" s="21">
        <f t="shared" ref="N49" si="11">N30+N34</f>
        <v>0</v>
      </c>
      <c r="O49" s="21"/>
      <c r="P49" s="21">
        <f>P30+P34</f>
        <v>100.33896110669076</v>
      </c>
      <c r="Q49" s="11"/>
    </row>
    <row r="50" spans="1:17">
      <c r="A50" s="19" t="s">
        <v>85</v>
      </c>
      <c r="B50" s="10" t="s">
        <v>93</v>
      </c>
      <c r="C50" s="9"/>
      <c r="D50" s="11"/>
      <c r="E50" s="11"/>
      <c r="F50" s="11"/>
      <c r="G50" s="11"/>
      <c r="H50" s="21"/>
      <c r="I50" s="21">
        <f>I30+I35</f>
        <v>88.412693942635556</v>
      </c>
      <c r="J50" s="21"/>
      <c r="K50" s="21"/>
      <c r="L50" s="21"/>
      <c r="M50" s="21">
        <f>M30+M35-0.01</f>
        <v>75.86807146089923</v>
      </c>
      <c r="N50" s="21"/>
      <c r="O50" s="21"/>
      <c r="P50" s="21">
        <f>P30+P35+0.01</f>
        <v>131.14478249909581</v>
      </c>
      <c r="Q50" s="11"/>
    </row>
    <row r="51" spans="1:17" ht="62.25">
      <c r="A51" s="9">
        <v>10</v>
      </c>
      <c r="B51" s="10" t="s">
        <v>91</v>
      </c>
      <c r="C51" s="9">
        <v>31</v>
      </c>
      <c r="D51" s="11"/>
      <c r="E51" s="11"/>
      <c r="F51" s="31"/>
      <c r="G51" s="31"/>
      <c r="H51" s="20">
        <f>H52+H53+H54</f>
        <v>29.914000000000001</v>
      </c>
      <c r="I51" s="21"/>
      <c r="J51" s="32"/>
      <c r="K51" s="32"/>
      <c r="L51" s="26">
        <f>L52+L53+L54</f>
        <v>26.956000000000003</v>
      </c>
      <c r="M51" s="21"/>
      <c r="N51" s="20"/>
      <c r="O51" s="26">
        <f>O52+O53+O54</f>
        <v>27.650000000000002</v>
      </c>
      <c r="P51" s="21"/>
      <c r="Q51" s="11"/>
    </row>
    <row r="52" spans="1:17" ht="15.75" thickBot="1">
      <c r="A52" s="19" t="s">
        <v>80</v>
      </c>
      <c r="B52" s="10" t="s">
        <v>71</v>
      </c>
      <c r="C52" s="9"/>
      <c r="D52" s="11"/>
      <c r="E52" s="11"/>
      <c r="F52" s="11"/>
      <c r="G52" s="11"/>
      <c r="H52" s="20">
        <v>19.632000000000001</v>
      </c>
      <c r="I52" s="21"/>
      <c r="J52" s="20"/>
      <c r="K52" s="20"/>
      <c r="L52" s="18">
        <v>16.792000000000002</v>
      </c>
      <c r="M52" s="21"/>
      <c r="N52" s="20"/>
      <c r="O52" s="26">
        <v>24.364000000000001</v>
      </c>
      <c r="P52" s="21"/>
      <c r="Q52" s="11"/>
    </row>
    <row r="53" spans="1:17">
      <c r="A53" s="19" t="s">
        <v>81</v>
      </c>
      <c r="B53" s="10" t="s">
        <v>72</v>
      </c>
      <c r="C53" s="9"/>
      <c r="D53" s="11"/>
      <c r="E53" s="11"/>
      <c r="F53" s="11"/>
      <c r="G53" s="11"/>
      <c r="H53" s="20">
        <v>1.196</v>
      </c>
      <c r="I53" s="21"/>
      <c r="J53" s="20"/>
      <c r="K53" s="20"/>
      <c r="L53" s="22">
        <v>3.5</v>
      </c>
      <c r="M53" s="21"/>
      <c r="N53" s="20"/>
      <c r="O53" s="26">
        <v>0.81799999999999995</v>
      </c>
      <c r="P53" s="21"/>
      <c r="Q53" s="11"/>
    </row>
    <row r="54" spans="1:17">
      <c r="A54" s="19" t="s">
        <v>86</v>
      </c>
      <c r="B54" s="10" t="s">
        <v>93</v>
      </c>
      <c r="C54" s="9"/>
      <c r="D54" s="11"/>
      <c r="E54" s="11"/>
      <c r="F54" s="11"/>
      <c r="G54" s="11"/>
      <c r="H54" s="20">
        <v>9.0860000000000003</v>
      </c>
      <c r="I54" s="21"/>
      <c r="J54" s="20"/>
      <c r="K54" s="20"/>
      <c r="L54" s="20">
        <v>6.6639999999999997</v>
      </c>
      <c r="M54" s="21"/>
      <c r="N54" s="20"/>
      <c r="O54" s="26">
        <v>2.468</v>
      </c>
      <c r="P54" s="21"/>
      <c r="Q54" s="11"/>
    </row>
    <row r="55" spans="1:17" ht="57">
      <c r="A55" s="12">
        <v>11</v>
      </c>
      <c r="B55" s="13" t="s">
        <v>40</v>
      </c>
      <c r="C55" s="12">
        <v>32</v>
      </c>
      <c r="D55" s="14"/>
      <c r="E55" s="14"/>
      <c r="F55" s="41"/>
      <c r="G55" s="41"/>
      <c r="H55" s="16"/>
      <c r="I55" s="17"/>
      <c r="J55" s="42"/>
      <c r="K55" s="42"/>
      <c r="L55" s="17"/>
      <c r="M55" s="17"/>
      <c r="N55" s="16"/>
      <c r="O55" s="17"/>
      <c r="P55" s="17"/>
      <c r="Q55" s="11"/>
    </row>
    <row r="56" spans="1:17">
      <c r="A56" s="15" t="s">
        <v>82</v>
      </c>
      <c r="B56" s="13" t="s">
        <v>74</v>
      </c>
      <c r="C56" s="12"/>
      <c r="D56" s="14"/>
      <c r="E56" s="14"/>
      <c r="F56" s="14"/>
      <c r="G56" s="14"/>
      <c r="H56" s="17"/>
      <c r="I56" s="17">
        <f>I48</f>
        <v>65.271116333489331</v>
      </c>
      <c r="J56" s="16"/>
      <c r="K56" s="16"/>
      <c r="L56" s="17"/>
      <c r="M56" s="17">
        <f>M48</f>
        <v>56.007368192610173</v>
      </c>
      <c r="N56" s="16"/>
      <c r="O56" s="17"/>
      <c r="P56" s="17">
        <f>P48</f>
        <v>96.81829580470162</v>
      </c>
      <c r="Q56" s="11"/>
    </row>
    <row r="57" spans="1:17" ht="28.5">
      <c r="A57" s="15" t="s">
        <v>83</v>
      </c>
      <c r="B57" s="13" t="s">
        <v>75</v>
      </c>
      <c r="C57" s="12"/>
      <c r="D57" s="14"/>
      <c r="E57" s="14"/>
      <c r="F57" s="14"/>
      <c r="G57" s="14"/>
      <c r="H57" s="17"/>
      <c r="I57" s="17">
        <f>I49</f>
        <v>67.644611472888954</v>
      </c>
      <c r="J57" s="16"/>
      <c r="K57" s="16"/>
      <c r="L57" s="17"/>
      <c r="M57" s="17">
        <f>M49</f>
        <v>58.054363399614182</v>
      </c>
      <c r="N57" s="16"/>
      <c r="O57" s="17"/>
      <c r="P57" s="17">
        <f>P49</f>
        <v>100.33896110669076</v>
      </c>
      <c r="Q57" s="11"/>
    </row>
    <row r="58" spans="1:17">
      <c r="A58" s="15" t="s">
        <v>87</v>
      </c>
      <c r="B58" s="13" t="s">
        <v>93</v>
      </c>
      <c r="C58" s="12"/>
      <c r="D58" s="14"/>
      <c r="E58" s="14"/>
      <c r="F58" s="14"/>
      <c r="G58" s="14"/>
      <c r="H58" s="16"/>
      <c r="I58" s="17">
        <f>I50</f>
        <v>88.412693942635556</v>
      </c>
      <c r="J58" s="16"/>
      <c r="K58" s="16"/>
      <c r="L58" s="17"/>
      <c r="M58" s="17">
        <f>M50</f>
        <v>75.86807146089923</v>
      </c>
      <c r="N58" s="16"/>
      <c r="O58" s="17"/>
      <c r="P58" s="17">
        <f>P50</f>
        <v>131.14478249909581</v>
      </c>
      <c r="Q58" s="11"/>
    </row>
    <row r="59" spans="1:17" ht="36" customHeight="1">
      <c r="A59" s="43" t="s">
        <v>94</v>
      </c>
      <c r="B59" s="43"/>
      <c r="C59" s="43"/>
      <c r="D59" s="43"/>
      <c r="E59" s="43"/>
      <c r="F59" s="43"/>
      <c r="G59" s="43" t="s">
        <v>42</v>
      </c>
      <c r="H59" s="43"/>
      <c r="I59" s="43"/>
      <c r="J59" s="43"/>
      <c r="K59" s="43" t="s">
        <v>84</v>
      </c>
      <c r="L59" s="43"/>
      <c r="M59" s="43"/>
      <c r="N59" s="43"/>
      <c r="O59" s="43"/>
      <c r="P59" s="43"/>
      <c r="Q59" s="43"/>
    </row>
    <row r="60" spans="1:17">
      <c r="A60" s="44" t="s">
        <v>41</v>
      </c>
      <c r="B60" s="44"/>
      <c r="C60" s="44"/>
      <c r="D60" s="44"/>
      <c r="E60" s="44"/>
      <c r="F60" s="44"/>
      <c r="G60" s="44" t="s">
        <v>43</v>
      </c>
      <c r="H60" s="44"/>
      <c r="I60" s="44"/>
      <c r="J60" s="44"/>
      <c r="K60" s="44" t="s">
        <v>44</v>
      </c>
      <c r="L60" s="44"/>
      <c r="M60" s="44"/>
      <c r="N60" s="44"/>
      <c r="O60" s="44"/>
      <c r="P60" s="44"/>
      <c r="Q60" s="44"/>
    </row>
    <row r="61" spans="1:17" ht="15.75" customHeight="1">
      <c r="A61" s="39" t="s">
        <v>45</v>
      </c>
      <c r="B61" s="39"/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>
      <c r="A63" s="3"/>
    </row>
    <row r="64" spans="1:17">
      <c r="A64" s="23"/>
      <c r="B64" s="5"/>
    </row>
    <row r="65" spans="1:17" ht="39.75" customHeight="1">
      <c r="A65" s="23" t="s">
        <v>46</v>
      </c>
      <c r="B65" s="37" t="s">
        <v>47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ht="15.75">
      <c r="A66" s="6" t="s">
        <v>48</v>
      </c>
    </row>
    <row r="67" spans="1:17" ht="15.75">
      <c r="A67" s="7" t="s">
        <v>49</v>
      </c>
    </row>
    <row r="68" spans="1:17">
      <c r="A68" s="7" t="s">
        <v>50</v>
      </c>
    </row>
    <row r="69" spans="1:17">
      <c r="A69" s="8"/>
    </row>
  </sheetData>
  <mergeCells count="83">
    <mergeCell ref="F11:G11"/>
    <mergeCell ref="J11:K11"/>
    <mergeCell ref="F12:G12"/>
    <mergeCell ref="L1:Q5"/>
    <mergeCell ref="A7:Q7"/>
    <mergeCell ref="B8:B10"/>
    <mergeCell ref="C8:C10"/>
    <mergeCell ref="D8:K8"/>
    <mergeCell ref="L8:N9"/>
    <mergeCell ref="O8:Q9"/>
    <mergeCell ref="D9:G9"/>
    <mergeCell ref="H9:K9"/>
    <mergeCell ref="F10:G10"/>
    <mergeCell ref="J10:K10"/>
    <mergeCell ref="J12:K12"/>
    <mergeCell ref="F14:G14"/>
    <mergeCell ref="J14:K14"/>
    <mergeCell ref="F15:G15"/>
    <mergeCell ref="J15:K15"/>
    <mergeCell ref="F13:G13"/>
    <mergeCell ref="J13:K13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6:G36"/>
    <mergeCell ref="J36:K36"/>
    <mergeCell ref="F40:G40"/>
    <mergeCell ref="J40:K40"/>
    <mergeCell ref="F41:G41"/>
    <mergeCell ref="J41:K41"/>
    <mergeCell ref="F44:G44"/>
    <mergeCell ref="J44:K44"/>
    <mergeCell ref="F45:G45"/>
    <mergeCell ref="J45:K45"/>
    <mergeCell ref="F46:G46"/>
    <mergeCell ref="J46:K46"/>
    <mergeCell ref="F47:G47"/>
    <mergeCell ref="J47:K47"/>
    <mergeCell ref="F51:G51"/>
    <mergeCell ref="J51:K51"/>
    <mergeCell ref="A61:F61"/>
    <mergeCell ref="G61:J61"/>
    <mergeCell ref="K61:Q61"/>
    <mergeCell ref="B65:Q65"/>
    <mergeCell ref="F55:G55"/>
    <mergeCell ref="J55:K55"/>
    <mergeCell ref="A59:F59"/>
    <mergeCell ref="G59:J59"/>
    <mergeCell ref="K59:Q59"/>
    <mergeCell ref="A60:F60"/>
    <mergeCell ref="G60:J60"/>
    <mergeCell ref="K60:Q60"/>
  </mergeCells>
  <pageMargins left="1.299212598425197" right="0.70866141732283472" top="0.55118110236220474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9"/>
  <sheetViews>
    <sheetView view="pageBreakPreview" topLeftCell="A49" zoomScale="82" zoomScaleSheetLayoutView="82" workbookViewId="0">
      <selection activeCell="A8" sqref="A8:A10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95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>
      <c r="A8" s="45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46"/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47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148.36000000000001</v>
      </c>
      <c r="I12" s="21">
        <f>I13+I20+I21+I25</f>
        <v>4.9595507120411844</v>
      </c>
      <c r="J12" s="32"/>
      <c r="K12" s="32"/>
      <c r="L12" s="21">
        <f>L13+L20+L21+L25</f>
        <v>153.46709000000001</v>
      </c>
      <c r="M12" s="21">
        <f>M13+M20+M21+M25</f>
        <v>5.6932441756937227</v>
      </c>
      <c r="N12" s="20"/>
      <c r="O12" s="21">
        <f>O13+O20+O21+O25</f>
        <v>189.55744000000001</v>
      </c>
      <c r="P12" s="21">
        <f>P13+P20+P21+P25</f>
        <v>6.855603616636528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11.4</v>
      </c>
      <c r="I13" s="21">
        <f>I14+I15+I19</f>
        <v>0.38109246506652406</v>
      </c>
      <c r="J13" s="32"/>
      <c r="K13" s="32"/>
      <c r="L13" s="21">
        <f>SUM(L14:L19)</f>
        <v>18.152000000000001</v>
      </c>
      <c r="M13" s="21">
        <f>SUM(M14:M19)</f>
        <v>0.67339367858732746</v>
      </c>
      <c r="N13" s="20"/>
      <c r="O13" s="21">
        <f>SUM(O14:O19)</f>
        <v>54.522000000000006</v>
      </c>
      <c r="P13" s="21">
        <f>SUM(P14:P19)</f>
        <v>1.9718625678119348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/>
      <c r="I14" s="21">
        <f>H14/$H$51</f>
        <v>0</v>
      </c>
      <c r="J14" s="32"/>
      <c r="K14" s="32"/>
      <c r="L14" s="21"/>
      <c r="M14" s="21">
        <f>L14/$L$51</f>
        <v>0</v>
      </c>
      <c r="N14" s="20"/>
      <c r="O14" s="21">
        <v>23.236000000000001</v>
      </c>
      <c r="P14" s="21">
        <f>O14/$O$51</f>
        <v>0.84036166365280285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/>
      <c r="I15" s="21">
        <f>H15/$H$51</f>
        <v>0</v>
      </c>
      <c r="J15" s="32"/>
      <c r="K15" s="32"/>
      <c r="L15" s="21"/>
      <c r="M15" s="21">
        <f t="shared" ref="M15:M19" si="0">L15/$L$51</f>
        <v>0</v>
      </c>
      <c r="N15" s="20"/>
      <c r="O15" s="21"/>
      <c r="P15" s="21">
        <f t="shared" ref="P15:P19" si="1">O15/$O$51</f>
        <v>0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H16/$H$51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v>11.4</v>
      </c>
      <c r="I19" s="21">
        <f>H19/$H$51</f>
        <v>0.38109246506652406</v>
      </c>
      <c r="J19" s="32"/>
      <c r="K19" s="32"/>
      <c r="L19" s="21">
        <v>18.152000000000001</v>
      </c>
      <c r="M19" s="21">
        <f t="shared" si="0"/>
        <v>0.67339367858732746</v>
      </c>
      <c r="N19" s="20"/>
      <c r="O19" s="21">
        <v>31.286000000000001</v>
      </c>
      <c r="P19" s="21">
        <f t="shared" si="1"/>
        <v>1.131500904159132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14.38</v>
      </c>
      <c r="I20" s="21">
        <f>H20/H51</f>
        <v>0.48071137260145752</v>
      </c>
      <c r="J20" s="32"/>
      <c r="K20" s="32"/>
      <c r="L20" s="21">
        <v>11.183</v>
      </c>
      <c r="M20" s="21">
        <f>L20/L51</f>
        <v>0.41486125537913632</v>
      </c>
      <c r="N20" s="20"/>
      <c r="O20" s="21">
        <v>11.226000000000001</v>
      </c>
      <c r="P20" s="21">
        <f>O20/O51</f>
        <v>0.40600361663652801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120.95</v>
      </c>
      <c r="I21" s="21">
        <f>I22+I23+I24</f>
        <v>4.0432573377014105</v>
      </c>
      <c r="J21" s="32"/>
      <c r="K21" s="32"/>
      <c r="L21" s="21">
        <f>SUM(L22:L24)</f>
        <v>120.86330000000001</v>
      </c>
      <c r="M21" s="21">
        <f>SUM(M22:M24)</f>
        <v>4.4837253301676796</v>
      </c>
      <c r="N21" s="20"/>
      <c r="O21" s="21">
        <f>SUM(O22:O24)</f>
        <v>120.87272</v>
      </c>
      <c r="P21" s="21">
        <f>SUM(P22:P24)</f>
        <v>4.3715269439421336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2.5499999999999998</v>
      </c>
      <c r="I22" s="21">
        <f>H22/$H$51</f>
        <v>8.5244367185932993E-2</v>
      </c>
      <c r="J22" s="32"/>
      <c r="K22" s="32"/>
      <c r="L22" s="21">
        <v>2.4602599999999999</v>
      </c>
      <c r="M22" s="21">
        <f>L22/L51</f>
        <v>9.1269476183409984E-2</v>
      </c>
      <c r="N22" s="20"/>
      <c r="O22" s="21">
        <v>2.4697200000000001</v>
      </c>
      <c r="P22" s="21">
        <f>O22/$O$51</f>
        <v>8.9320795660036159E-2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118.4</v>
      </c>
      <c r="I23" s="21">
        <f t="shared" ref="I23:I26" si="3">H23/$H$51</f>
        <v>3.9580129705154778</v>
      </c>
      <c r="J23" s="32"/>
      <c r="K23" s="32"/>
      <c r="L23" s="21">
        <v>118.40304</v>
      </c>
      <c r="M23" s="21">
        <f>L23/L51</f>
        <v>4.39245585398427</v>
      </c>
      <c r="N23" s="20"/>
      <c r="O23" s="21">
        <v>118.40300000000001</v>
      </c>
      <c r="P23" s="21">
        <f>O23/O51</f>
        <v>4.2822061482820972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0"/>
      <c r="I24" s="21">
        <f t="shared" si="3"/>
        <v>0</v>
      </c>
      <c r="J24" s="32"/>
      <c r="K24" s="32"/>
      <c r="L24" s="21"/>
      <c r="M24" s="21">
        <f>L24/L51</f>
        <v>0</v>
      </c>
      <c r="N24" s="20"/>
      <c r="O24" s="21"/>
      <c r="P24" s="21">
        <f>O24/O51</f>
        <v>0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1.63</v>
      </c>
      <c r="I25" s="21">
        <f t="shared" si="3"/>
        <v>5.4489536671792467E-2</v>
      </c>
      <c r="J25" s="32"/>
      <c r="K25" s="32"/>
      <c r="L25" s="21">
        <v>3.2687900000000001</v>
      </c>
      <c r="M25" s="21">
        <f>L25/L51</f>
        <v>0.12126391155957857</v>
      </c>
      <c r="N25" s="20"/>
      <c r="O25" s="21">
        <v>2.9367200000000002</v>
      </c>
      <c r="P25" s="21">
        <f>O25/O51</f>
        <v>0.10621048824593128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26.06</v>
      </c>
      <c r="I26" s="21">
        <f t="shared" si="3"/>
        <v>0.87116400347663292</v>
      </c>
      <c r="J26" s="32"/>
      <c r="K26" s="32"/>
      <c r="L26" s="21">
        <v>33.109789999999997</v>
      </c>
      <c r="M26" s="21">
        <f>L26/L51</f>
        <v>1.2282901765840626</v>
      </c>
      <c r="N26" s="20"/>
      <c r="O26" s="21">
        <v>35.44746</v>
      </c>
      <c r="P26" s="21">
        <f>O26/O51</f>
        <v>1.2820057866184447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/>
      <c r="I27" s="21">
        <f>H27/H51</f>
        <v>0</v>
      </c>
      <c r="J27" s="32"/>
      <c r="K27" s="32"/>
      <c r="L27" s="21"/>
      <c r="M27" s="21">
        <f>L27/L51</f>
        <v>0</v>
      </c>
      <c r="N27" s="20"/>
      <c r="O27" s="21">
        <v>2.0787800000000001</v>
      </c>
      <c r="P27" s="21">
        <f>O27/O51</f>
        <v>7.5181916817359848E-2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174.42000000000002</v>
      </c>
      <c r="I30" s="21">
        <f>I27+I26+I12</f>
        <v>5.8307147155178169</v>
      </c>
      <c r="J30" s="32"/>
      <c r="K30" s="32"/>
      <c r="L30" s="21">
        <f>L12+L26+L27+L28+L29</f>
        <v>186.57688000000002</v>
      </c>
      <c r="M30" s="21">
        <f>M12+M26+M27+M28+M29+0.01</f>
        <v>6.9315343522777848</v>
      </c>
      <c r="N30" s="20"/>
      <c r="O30" s="21">
        <f>O12+O26+O27+O28+O29</f>
        <v>227.08368000000002</v>
      </c>
      <c r="P30" s="21">
        <f>P12+P26+P27+P28+P29</f>
        <v>8.2127913200723324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H33+H34+H35</f>
        <v>38.382312215016377</v>
      </c>
      <c r="I32" s="21">
        <f>I33+I34+I35</f>
        <v>4.2564217423280066</v>
      </c>
      <c r="J32" s="32"/>
      <c r="K32" s="32"/>
      <c r="L32" s="21">
        <f>SUM(L33:L35)</f>
        <v>37.087867705297512</v>
      </c>
      <c r="M32" s="21">
        <f>M33+M34+M35</f>
        <v>5.0253624054013937</v>
      </c>
      <c r="N32" s="20"/>
      <c r="O32" s="21">
        <f>O33+O34+O35</f>
        <v>30.882066433388793</v>
      </c>
      <c r="P32" s="21">
        <f>P33+P34+P35</f>
        <v>5.9953376636528031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I30*H52*10%</f>
        <v>11.446859129504581</v>
      </c>
      <c r="I33" s="21">
        <f>H33/H52</f>
        <v>0.58307147155178185</v>
      </c>
      <c r="J33" s="20"/>
      <c r="K33" s="20"/>
      <c r="L33" s="21">
        <f>M30*L52*9.5%</f>
        <v>11.057460860127614</v>
      </c>
      <c r="M33" s="21">
        <f>L33/L52</f>
        <v>0.65849576346638949</v>
      </c>
      <c r="N33" s="20"/>
      <c r="O33" s="21">
        <f>P30*O52*10%</f>
        <v>20.009644772224235</v>
      </c>
      <c r="P33" s="21">
        <f>O33/O52</f>
        <v>0.82127913200723335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1">
        <f>I30*H53*14%</f>
        <v>0.97629487196630327</v>
      </c>
      <c r="I34" s="21">
        <f>H34/H53</f>
        <v>0.81630006017249446</v>
      </c>
      <c r="J34" s="20"/>
      <c r="K34" s="20"/>
      <c r="L34" s="21">
        <f>M30*L53*14%</f>
        <v>3.3964518326161146</v>
      </c>
      <c r="M34" s="21">
        <f>L34/L53</f>
        <v>0.9704148093188899</v>
      </c>
      <c r="N34" s="20"/>
      <c r="O34" s="21">
        <f>P30*O53*14%</f>
        <v>0.94052886197468355</v>
      </c>
      <c r="P34" s="21">
        <f>O34/O53</f>
        <v>1.1497907848101268</v>
      </c>
      <c r="Q34" s="11"/>
    </row>
    <row r="35" spans="1:17" ht="16.5" customHeight="1">
      <c r="A35" s="25"/>
      <c r="B35" s="10" t="s">
        <v>93</v>
      </c>
      <c r="C35" s="9"/>
      <c r="D35" s="11"/>
      <c r="E35" s="11"/>
      <c r="F35" s="11"/>
      <c r="G35" s="11"/>
      <c r="H35" s="21">
        <f>I30*H54*49%</f>
        <v>25.959158213545493</v>
      </c>
      <c r="I35" s="21">
        <f>H35/H54</f>
        <v>2.8570502106037301</v>
      </c>
      <c r="J35" s="20"/>
      <c r="K35" s="20"/>
      <c r="L35" s="21">
        <f>M30*L54*49%</f>
        <v>22.633955012553788</v>
      </c>
      <c r="M35" s="21">
        <f>L35/L54</f>
        <v>3.3964518326161146</v>
      </c>
      <c r="N35" s="20"/>
      <c r="O35" s="21">
        <f>P30*O54*49%</f>
        <v>9.9318927991898729</v>
      </c>
      <c r="P35" s="21">
        <f>O35/O54</f>
        <v>4.0242677468354433</v>
      </c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H37+H38+H39</f>
        <v>6.9088161987029473</v>
      </c>
      <c r="I36" s="21">
        <f>H36/H51</f>
        <v>0.23095594700484545</v>
      </c>
      <c r="J36" s="32"/>
      <c r="K36" s="32"/>
      <c r="L36" s="21">
        <f>L37+L38+L39</f>
        <v>6.6758161869535524</v>
      </c>
      <c r="M36" s="21">
        <f>M37+M38+M39</f>
        <v>0.90456523297225089</v>
      </c>
      <c r="N36" s="20"/>
      <c r="O36" s="21">
        <f>O37+O38+O39</f>
        <v>5.5587719580099826</v>
      </c>
      <c r="P36" s="21">
        <f>P37+P38+P39</f>
        <v>1.0791607794575044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2.0604346433108245</v>
      </c>
      <c r="I37" s="21">
        <f>H37/H52</f>
        <v>0.10495286487932072</v>
      </c>
      <c r="J37" s="20"/>
      <c r="K37" s="20"/>
      <c r="L37" s="21">
        <f>L33*18%</f>
        <v>1.9903429548229705</v>
      </c>
      <c r="M37" s="21">
        <f>L37/L52</f>
        <v>0.11852923742395012</v>
      </c>
      <c r="N37" s="20"/>
      <c r="O37" s="21">
        <f>O33*18%</f>
        <v>3.6017360590003622</v>
      </c>
      <c r="P37" s="21">
        <f>O37/O52</f>
        <v>0.14783024376130199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1">
        <f t="shared" ref="H38:H39" si="4">H34*18%</f>
        <v>0.17573307695393459</v>
      </c>
      <c r="I38" s="21">
        <f t="shared" ref="I38:I39" si="5">H38/H53</f>
        <v>0.14693401083104898</v>
      </c>
      <c r="J38" s="20"/>
      <c r="K38" s="20"/>
      <c r="L38" s="21">
        <f t="shared" ref="L38:L39" si="6">L34*18%</f>
        <v>0.61136132987090064</v>
      </c>
      <c r="M38" s="21">
        <f t="shared" ref="M38:M39" si="7">L38/L53</f>
        <v>0.17467466567740017</v>
      </c>
      <c r="N38" s="20"/>
      <c r="O38" s="21">
        <f>O34*18%</f>
        <v>0.16929519515544303</v>
      </c>
      <c r="P38" s="21">
        <f>O38/O53</f>
        <v>0.20696234126582277</v>
      </c>
      <c r="Q38" s="11"/>
    </row>
    <row r="39" spans="1:17">
      <c r="A39" s="19"/>
      <c r="B39" s="10" t="s">
        <v>93</v>
      </c>
      <c r="C39" s="9"/>
      <c r="D39" s="11"/>
      <c r="E39" s="11"/>
      <c r="F39" s="11"/>
      <c r="G39" s="11"/>
      <c r="H39" s="21">
        <f t="shared" si="4"/>
        <v>4.6726484784381883</v>
      </c>
      <c r="I39" s="21">
        <f t="shared" si="5"/>
        <v>0.5142690379086714</v>
      </c>
      <c r="J39" s="20"/>
      <c r="K39" s="20"/>
      <c r="L39" s="21">
        <f t="shared" si="6"/>
        <v>4.0741119022596815</v>
      </c>
      <c r="M39" s="21">
        <f t="shared" si="7"/>
        <v>0.61136132987090064</v>
      </c>
      <c r="N39" s="20"/>
      <c r="O39" s="21">
        <f>O35*18%</f>
        <v>1.787740703854177</v>
      </c>
      <c r="P39" s="21">
        <f>O39/O54</f>
        <v>0.7243681944303797</v>
      </c>
      <c r="Q39" s="11"/>
    </row>
    <row r="40" spans="1:17" ht="30">
      <c r="A40" s="19" t="s">
        <v>53</v>
      </c>
      <c r="B40" s="10" t="s">
        <v>34</v>
      </c>
      <c r="C40" s="9">
        <v>25</v>
      </c>
      <c r="D40" s="11"/>
      <c r="E40" s="11"/>
      <c r="F40" s="31"/>
      <c r="G40" s="31"/>
      <c r="H40" s="21">
        <f>H32-H36</f>
        <v>31.47349601631343</v>
      </c>
      <c r="I40" s="21">
        <f>H40/H51</f>
        <v>1.0521326474665182</v>
      </c>
      <c r="J40" s="32"/>
      <c r="K40" s="32"/>
      <c r="L40" s="21">
        <f>L32-L36</f>
        <v>30.412051518343958</v>
      </c>
      <c r="M40" s="21">
        <f>M32-M36</f>
        <v>4.1207971724291426</v>
      </c>
      <c r="N40" s="20"/>
      <c r="O40" s="21">
        <f>O32-O36</f>
        <v>25.323294475378809</v>
      </c>
      <c r="P40" s="21">
        <f>O40/O52</f>
        <v>1.0393734393112299</v>
      </c>
      <c r="Q40" s="11"/>
    </row>
    <row r="41" spans="1:17">
      <c r="A41" s="19" t="s">
        <v>54</v>
      </c>
      <c r="B41" s="10" t="s">
        <v>35</v>
      </c>
      <c r="C41" s="9">
        <v>26</v>
      </c>
      <c r="D41" s="11"/>
      <c r="E41" s="11"/>
      <c r="F41" s="31"/>
      <c r="G41" s="31"/>
      <c r="H41" s="21">
        <f>H40*15%</f>
        <v>4.7210244024470143</v>
      </c>
      <c r="I41" s="21">
        <f>H41/H51</f>
        <v>0.15781989711997774</v>
      </c>
      <c r="J41" s="32"/>
      <c r="K41" s="32"/>
      <c r="L41" s="21">
        <f>L40*15%</f>
        <v>4.5618077277515932</v>
      </c>
      <c r="M41" s="21">
        <f>L41/O51</f>
        <v>0.16498400462031076</v>
      </c>
      <c r="N41" s="20"/>
      <c r="O41" s="21">
        <f>O40*15%</f>
        <v>3.798494171306821</v>
      </c>
      <c r="P41" s="21">
        <f>P36/O51</f>
        <v>3.9029322946021856E-2</v>
      </c>
      <c r="Q41" s="11"/>
    </row>
    <row r="42" spans="1:17" hidden="1">
      <c r="A42" s="19" t="s">
        <v>76</v>
      </c>
      <c r="B42" s="10" t="s">
        <v>71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O42/3424</f>
        <v>0</v>
      </c>
      <c r="Q42" s="11"/>
    </row>
    <row r="43" spans="1:17" hidden="1">
      <c r="A43" s="19" t="s">
        <v>77</v>
      </c>
      <c r="B43" s="10" t="s">
        <v>72</v>
      </c>
      <c r="C43" s="9"/>
      <c r="D43" s="11"/>
      <c r="E43" s="11"/>
      <c r="F43" s="11"/>
      <c r="G43" s="11"/>
      <c r="H43" s="20"/>
      <c r="I43" s="21"/>
      <c r="J43" s="20"/>
      <c r="K43" s="20"/>
      <c r="L43" s="21"/>
      <c r="M43" s="21"/>
      <c r="N43" s="20"/>
      <c r="O43" s="21"/>
      <c r="P43" s="21">
        <f>P38/14</f>
        <v>1.4783024376130199E-2</v>
      </c>
      <c r="Q43" s="11"/>
    </row>
    <row r="44" spans="1:17" ht="30" hidden="1">
      <c r="A44" s="19" t="s">
        <v>55</v>
      </c>
      <c r="B44" s="10" t="s">
        <v>36</v>
      </c>
      <c r="C44" s="9">
        <v>27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45" hidden="1">
      <c r="A45" s="19" t="s">
        <v>56</v>
      </c>
      <c r="B45" s="10" t="s">
        <v>37</v>
      </c>
      <c r="C45" s="9">
        <v>28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30" hidden="1">
      <c r="A46" s="19" t="s">
        <v>57</v>
      </c>
      <c r="B46" s="10" t="s">
        <v>38</v>
      </c>
      <c r="C46" s="9">
        <v>29</v>
      </c>
      <c r="D46" s="11"/>
      <c r="E46" s="11"/>
      <c r="F46" s="31"/>
      <c r="G46" s="31"/>
      <c r="H46" s="20"/>
      <c r="I46" s="21"/>
      <c r="J46" s="32"/>
      <c r="K46" s="32"/>
      <c r="L46" s="21"/>
      <c r="M46" s="21"/>
      <c r="N46" s="20"/>
      <c r="O46" s="21"/>
      <c r="P46" s="21"/>
      <c r="Q46" s="11"/>
    </row>
    <row r="47" spans="1:17" ht="60">
      <c r="A47" s="19">
        <v>9</v>
      </c>
      <c r="B47" s="10" t="s">
        <v>39</v>
      </c>
      <c r="C47" s="9">
        <v>30</v>
      </c>
      <c r="D47" s="11"/>
      <c r="E47" s="11"/>
      <c r="F47" s="31"/>
      <c r="G47" s="31"/>
      <c r="H47" s="21">
        <f>H30+H32</f>
        <v>212.8023122150164</v>
      </c>
      <c r="I47" s="21">
        <f>H47/H51</f>
        <v>7.1138033099891818</v>
      </c>
      <c r="J47" s="32"/>
      <c r="K47" s="32"/>
      <c r="L47" s="21">
        <f>L30+L32</f>
        <v>223.66474770529754</v>
      </c>
      <c r="M47" s="21">
        <f>L47/L51</f>
        <v>8.2974012355430151</v>
      </c>
      <c r="N47" s="20"/>
      <c r="O47" s="21">
        <f>O30+O32</f>
        <v>257.9657464333888</v>
      </c>
      <c r="P47" s="21">
        <f>O47/O51</f>
        <v>9.3296834153124326</v>
      </c>
      <c r="Q47" s="11"/>
    </row>
    <row r="48" spans="1:17">
      <c r="A48" s="19" t="s">
        <v>78</v>
      </c>
      <c r="B48" s="10" t="s">
        <v>71</v>
      </c>
      <c r="C48" s="9"/>
      <c r="D48" s="11"/>
      <c r="E48" s="11"/>
      <c r="F48" s="11"/>
      <c r="G48" s="11"/>
      <c r="H48" s="21"/>
      <c r="I48" s="21">
        <f>I30+I33</f>
        <v>6.4137861870695989</v>
      </c>
      <c r="J48" s="21">
        <f t="shared" ref="J48:K48" si="8">J30+J33</f>
        <v>0</v>
      </c>
      <c r="K48" s="21">
        <f t="shared" si="8"/>
        <v>0</v>
      </c>
      <c r="L48" s="21"/>
      <c r="M48" s="21">
        <f>M30+M33</f>
        <v>7.5900301157441739</v>
      </c>
      <c r="N48" s="21">
        <f t="shared" ref="N48" si="9">N30+N33</f>
        <v>0</v>
      </c>
      <c r="O48" s="21"/>
      <c r="P48" s="21">
        <f>P30+P33</f>
        <v>9.0340704520795665</v>
      </c>
      <c r="Q48" s="11"/>
    </row>
    <row r="49" spans="1:17">
      <c r="A49" s="19" t="s">
        <v>79</v>
      </c>
      <c r="B49" s="10" t="s">
        <v>72</v>
      </c>
      <c r="C49" s="9"/>
      <c r="D49" s="11"/>
      <c r="E49" s="11"/>
      <c r="F49" s="11"/>
      <c r="G49" s="11"/>
      <c r="H49" s="21"/>
      <c r="I49" s="21">
        <f>I30+I34</f>
        <v>6.6470147756903115</v>
      </c>
      <c r="J49" s="21">
        <f t="shared" ref="J49:K49" si="10">J30+J34</f>
        <v>0</v>
      </c>
      <c r="K49" s="21">
        <f t="shared" si="10"/>
        <v>0</v>
      </c>
      <c r="L49" s="21"/>
      <c r="M49" s="21">
        <f>M30+M34</f>
        <v>7.9019491615966748</v>
      </c>
      <c r="N49" s="21">
        <f t="shared" ref="N49" si="11">N30+N34</f>
        <v>0</v>
      </c>
      <c r="O49" s="21"/>
      <c r="P49" s="21">
        <f>P30+P34</f>
        <v>9.3625821048824598</v>
      </c>
      <c r="Q49" s="11"/>
    </row>
    <row r="50" spans="1:17">
      <c r="A50" s="19" t="s">
        <v>85</v>
      </c>
      <c r="B50" s="10" t="s">
        <v>93</v>
      </c>
      <c r="C50" s="9"/>
      <c r="D50" s="11"/>
      <c r="E50" s="11"/>
      <c r="F50" s="11"/>
      <c r="G50" s="11"/>
      <c r="H50" s="21"/>
      <c r="I50" s="21">
        <f>I30+I35</f>
        <v>8.687764926121547</v>
      </c>
      <c r="J50" s="21"/>
      <c r="K50" s="21"/>
      <c r="L50" s="21"/>
      <c r="M50" s="21">
        <f>M30+M35</f>
        <v>10.327986184893899</v>
      </c>
      <c r="N50" s="21"/>
      <c r="O50" s="21"/>
      <c r="P50" s="21">
        <f>P30+P35</f>
        <v>12.237059066907776</v>
      </c>
      <c r="Q50" s="11"/>
    </row>
    <row r="51" spans="1:17" ht="62.25">
      <c r="A51" s="9">
        <v>10</v>
      </c>
      <c r="B51" s="10" t="s">
        <v>91</v>
      </c>
      <c r="C51" s="9">
        <v>31</v>
      </c>
      <c r="D51" s="11"/>
      <c r="E51" s="11"/>
      <c r="F51" s="31"/>
      <c r="G51" s="31"/>
      <c r="H51" s="20">
        <f>H52+H53+H54</f>
        <v>29.914000000000001</v>
      </c>
      <c r="I51" s="21"/>
      <c r="J51" s="32"/>
      <c r="K51" s="32"/>
      <c r="L51" s="26">
        <f>L52+L53+L54</f>
        <v>26.956000000000003</v>
      </c>
      <c r="M51" s="21"/>
      <c r="N51" s="20"/>
      <c r="O51" s="26">
        <f>O52+O53+O54</f>
        <v>27.650000000000002</v>
      </c>
      <c r="P51" s="21"/>
      <c r="Q51" s="11"/>
    </row>
    <row r="52" spans="1:17" ht="15.75" thickBot="1">
      <c r="A52" s="19" t="s">
        <v>80</v>
      </c>
      <c r="B52" s="10" t="s">
        <v>71</v>
      </c>
      <c r="C52" s="9"/>
      <c r="D52" s="11"/>
      <c r="E52" s="11"/>
      <c r="F52" s="11"/>
      <c r="G52" s="11"/>
      <c r="H52" s="20">
        <v>19.632000000000001</v>
      </c>
      <c r="I52" s="21"/>
      <c r="J52" s="20"/>
      <c r="K52" s="20"/>
      <c r="L52" s="18">
        <v>16.792000000000002</v>
      </c>
      <c r="M52" s="21"/>
      <c r="N52" s="20"/>
      <c r="O52" s="26">
        <v>24.364000000000001</v>
      </c>
      <c r="P52" s="21"/>
      <c r="Q52" s="11"/>
    </row>
    <row r="53" spans="1:17">
      <c r="A53" s="19" t="s">
        <v>81</v>
      </c>
      <c r="B53" s="10" t="s">
        <v>72</v>
      </c>
      <c r="C53" s="9"/>
      <c r="D53" s="11"/>
      <c r="E53" s="11"/>
      <c r="F53" s="11"/>
      <c r="G53" s="11"/>
      <c r="H53" s="20">
        <v>1.196</v>
      </c>
      <c r="I53" s="21"/>
      <c r="J53" s="20"/>
      <c r="K53" s="20"/>
      <c r="L53" s="22">
        <v>3.5</v>
      </c>
      <c r="M53" s="21"/>
      <c r="N53" s="20"/>
      <c r="O53" s="26">
        <v>0.81799999999999995</v>
      </c>
      <c r="P53" s="21"/>
      <c r="Q53" s="11"/>
    </row>
    <row r="54" spans="1:17">
      <c r="A54" s="19" t="s">
        <v>86</v>
      </c>
      <c r="B54" s="10" t="s">
        <v>93</v>
      </c>
      <c r="C54" s="9"/>
      <c r="D54" s="11"/>
      <c r="E54" s="11"/>
      <c r="F54" s="11"/>
      <c r="G54" s="11"/>
      <c r="H54" s="20">
        <v>9.0860000000000003</v>
      </c>
      <c r="I54" s="21"/>
      <c r="J54" s="20"/>
      <c r="K54" s="20"/>
      <c r="L54" s="20">
        <v>6.6639999999999997</v>
      </c>
      <c r="M54" s="21"/>
      <c r="N54" s="20"/>
      <c r="O54" s="26">
        <v>2.468</v>
      </c>
      <c r="P54" s="21"/>
      <c r="Q54" s="11"/>
    </row>
    <row r="55" spans="1:17" ht="57">
      <c r="A55" s="12">
        <v>11</v>
      </c>
      <c r="B55" s="13" t="s">
        <v>40</v>
      </c>
      <c r="C55" s="12">
        <v>32</v>
      </c>
      <c r="D55" s="14"/>
      <c r="E55" s="14"/>
      <c r="F55" s="41"/>
      <c r="G55" s="41"/>
      <c r="H55" s="16"/>
      <c r="I55" s="17"/>
      <c r="J55" s="42"/>
      <c r="K55" s="42"/>
      <c r="L55" s="17"/>
      <c r="M55" s="17"/>
      <c r="N55" s="16"/>
      <c r="O55" s="17"/>
      <c r="P55" s="17"/>
      <c r="Q55" s="11"/>
    </row>
    <row r="56" spans="1:17">
      <c r="A56" s="15" t="s">
        <v>82</v>
      </c>
      <c r="B56" s="13" t="s">
        <v>74</v>
      </c>
      <c r="C56" s="12"/>
      <c r="D56" s="14"/>
      <c r="E56" s="14"/>
      <c r="F56" s="14"/>
      <c r="G56" s="14"/>
      <c r="H56" s="17"/>
      <c r="I56" s="17">
        <f>I48</f>
        <v>6.4137861870695989</v>
      </c>
      <c r="J56" s="16"/>
      <c r="K56" s="16"/>
      <c r="L56" s="17"/>
      <c r="M56" s="17">
        <f>M48</f>
        <v>7.5900301157441739</v>
      </c>
      <c r="N56" s="16"/>
      <c r="O56" s="17"/>
      <c r="P56" s="17">
        <f>P48</f>
        <v>9.0340704520795665</v>
      </c>
      <c r="Q56" s="11"/>
    </row>
    <row r="57" spans="1:17" ht="28.5">
      <c r="A57" s="15" t="s">
        <v>83</v>
      </c>
      <c r="B57" s="13" t="s">
        <v>75</v>
      </c>
      <c r="C57" s="12"/>
      <c r="D57" s="14"/>
      <c r="E57" s="14"/>
      <c r="F57" s="14"/>
      <c r="G57" s="14"/>
      <c r="H57" s="17"/>
      <c r="I57" s="17">
        <f>I49</f>
        <v>6.6470147756903115</v>
      </c>
      <c r="J57" s="16"/>
      <c r="K57" s="16"/>
      <c r="L57" s="17"/>
      <c r="M57" s="17">
        <f>M49</f>
        <v>7.9019491615966748</v>
      </c>
      <c r="N57" s="16"/>
      <c r="O57" s="17"/>
      <c r="P57" s="17">
        <f>P49</f>
        <v>9.3625821048824598</v>
      </c>
      <c r="Q57" s="11"/>
    </row>
    <row r="58" spans="1:17">
      <c r="A58" s="15" t="s">
        <v>87</v>
      </c>
      <c r="B58" s="13" t="s">
        <v>93</v>
      </c>
      <c r="C58" s="12"/>
      <c r="D58" s="14"/>
      <c r="E58" s="14"/>
      <c r="F58" s="14"/>
      <c r="G58" s="14"/>
      <c r="H58" s="16"/>
      <c r="I58" s="17">
        <f>I50</f>
        <v>8.687764926121547</v>
      </c>
      <c r="J58" s="16"/>
      <c r="K58" s="16"/>
      <c r="L58" s="17"/>
      <c r="M58" s="17">
        <f>M50</f>
        <v>10.327986184893899</v>
      </c>
      <c r="N58" s="16"/>
      <c r="O58" s="17"/>
      <c r="P58" s="17">
        <f>P50</f>
        <v>12.237059066907776</v>
      </c>
      <c r="Q58" s="11"/>
    </row>
    <row r="59" spans="1:17" ht="36" customHeight="1">
      <c r="A59" s="43" t="s">
        <v>94</v>
      </c>
      <c r="B59" s="43"/>
      <c r="C59" s="43"/>
      <c r="D59" s="43"/>
      <c r="E59" s="43"/>
      <c r="F59" s="43"/>
      <c r="G59" s="43" t="s">
        <v>42</v>
      </c>
      <c r="H59" s="43"/>
      <c r="I59" s="43"/>
      <c r="J59" s="43"/>
      <c r="K59" s="43" t="s">
        <v>84</v>
      </c>
      <c r="L59" s="43"/>
      <c r="M59" s="43"/>
      <c r="N59" s="43"/>
      <c r="O59" s="43"/>
      <c r="P59" s="43"/>
      <c r="Q59" s="43"/>
    </row>
    <row r="60" spans="1:17">
      <c r="A60" s="44" t="s">
        <v>41</v>
      </c>
      <c r="B60" s="44"/>
      <c r="C60" s="44"/>
      <c r="D60" s="44"/>
      <c r="E60" s="44"/>
      <c r="F60" s="44"/>
      <c r="G60" s="44" t="s">
        <v>43</v>
      </c>
      <c r="H60" s="44"/>
      <c r="I60" s="44"/>
      <c r="J60" s="44"/>
      <c r="K60" s="44" t="s">
        <v>44</v>
      </c>
      <c r="L60" s="44"/>
      <c r="M60" s="44"/>
      <c r="N60" s="44"/>
      <c r="O60" s="44"/>
      <c r="P60" s="44"/>
      <c r="Q60" s="44"/>
    </row>
    <row r="61" spans="1:17" ht="15.75" customHeight="1">
      <c r="A61" s="39" t="s">
        <v>45</v>
      </c>
      <c r="B61" s="39"/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>
      <c r="A63" s="3"/>
    </row>
    <row r="64" spans="1:17">
      <c r="A64" s="23"/>
      <c r="B64" s="5"/>
    </row>
    <row r="65" spans="1:17" ht="39.75" customHeight="1">
      <c r="A65" s="23" t="s">
        <v>46</v>
      </c>
      <c r="B65" s="37" t="s">
        <v>47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ht="15.75">
      <c r="A66" s="6" t="s">
        <v>48</v>
      </c>
    </row>
    <row r="67" spans="1:17" ht="15.75">
      <c r="A67" s="7" t="s">
        <v>49</v>
      </c>
    </row>
    <row r="68" spans="1:17">
      <c r="A68" s="7" t="s">
        <v>50</v>
      </c>
    </row>
    <row r="69" spans="1:17">
      <c r="A69" s="8"/>
    </row>
  </sheetData>
  <mergeCells count="84">
    <mergeCell ref="F11:G11"/>
    <mergeCell ref="J11:K11"/>
    <mergeCell ref="L1:Q5"/>
    <mergeCell ref="A7:Q7"/>
    <mergeCell ref="B8:B10"/>
    <mergeCell ref="C8:C10"/>
    <mergeCell ref="D8:K8"/>
    <mergeCell ref="L8:N9"/>
    <mergeCell ref="O8:Q9"/>
    <mergeCell ref="D9:G9"/>
    <mergeCell ref="H9:K9"/>
    <mergeCell ref="F10:G10"/>
    <mergeCell ref="A8:A10"/>
    <mergeCell ref="J10:K10"/>
    <mergeCell ref="F12:G12"/>
    <mergeCell ref="J12:K12"/>
    <mergeCell ref="F14:G14"/>
    <mergeCell ref="J14:K14"/>
    <mergeCell ref="F15:G15"/>
    <mergeCell ref="J15:K15"/>
    <mergeCell ref="F13:G13"/>
    <mergeCell ref="J13:K13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6:G36"/>
    <mergeCell ref="J36:K36"/>
    <mergeCell ref="F40:G40"/>
    <mergeCell ref="J40:K40"/>
    <mergeCell ref="F41:G41"/>
    <mergeCell ref="J41:K41"/>
    <mergeCell ref="F44:G44"/>
    <mergeCell ref="J44:K44"/>
    <mergeCell ref="F45:G45"/>
    <mergeCell ref="J45:K45"/>
    <mergeCell ref="F46:G46"/>
    <mergeCell ref="J46:K46"/>
    <mergeCell ref="F47:G47"/>
    <mergeCell ref="J47:K47"/>
    <mergeCell ref="F51:G51"/>
    <mergeCell ref="J51:K51"/>
    <mergeCell ref="A61:F61"/>
    <mergeCell ref="G61:J61"/>
    <mergeCell ref="K61:Q61"/>
    <mergeCell ref="B65:Q65"/>
    <mergeCell ref="F55:G55"/>
    <mergeCell ref="J55:K55"/>
    <mergeCell ref="A59:F59"/>
    <mergeCell ref="G59:J59"/>
    <mergeCell ref="K59:Q59"/>
    <mergeCell ref="A60:F60"/>
    <mergeCell ref="G60:J60"/>
    <mergeCell ref="K60:Q60"/>
  </mergeCells>
  <pageMargins left="1.299212598425197" right="0.70866141732283472" top="0.55118110236220474" bottom="0.74803149606299213" header="0.31496062992125984" footer="0.31496062992125984"/>
  <pageSetup paperSize="9" scale="70" orientation="portrait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69"/>
  <sheetViews>
    <sheetView view="pageBreakPreview" topLeftCell="A40" zoomScale="82" zoomScaleSheetLayoutView="82" workbookViewId="0">
      <selection activeCell="T55" sqref="T55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96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 ht="15.75">
      <c r="A8" s="9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9" t="s">
        <v>1</v>
      </c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24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532.57539000000008</v>
      </c>
      <c r="I12" s="21">
        <f>I13+I20+I21+I25</f>
        <v>160.45329003021146</v>
      </c>
      <c r="J12" s="32"/>
      <c r="K12" s="32"/>
      <c r="L12" s="21">
        <f>L13+L20+L21+L25</f>
        <v>492.72311000000002</v>
      </c>
      <c r="M12" s="21">
        <f>M13+M20+M21+M25</f>
        <v>127.94679563749676</v>
      </c>
      <c r="N12" s="20"/>
      <c r="O12" s="21">
        <f>O13+O20+O21+O25</f>
        <v>782.92808000000002</v>
      </c>
      <c r="P12" s="21">
        <f>P13+P20+P21+P25</f>
        <v>206.95957705524717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98.346730000000008</v>
      </c>
      <c r="I13" s="21">
        <f>I14+I15+I19</f>
        <v>29.712003021148039</v>
      </c>
      <c r="J13" s="32"/>
      <c r="K13" s="32"/>
      <c r="L13" s="21">
        <f>SUM(L14:L19)</f>
        <v>126.71739000000001</v>
      </c>
      <c r="M13" s="21">
        <f>SUM(M14:M19)</f>
        <v>32.905061023110882</v>
      </c>
      <c r="N13" s="20"/>
      <c r="O13" s="21">
        <f>SUM(O14:O19)</f>
        <v>198.84127000000001</v>
      </c>
      <c r="P13" s="21">
        <f>SUM(P14:P19)</f>
        <v>52.561794871794866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>
        <v>78.110830000000007</v>
      </c>
      <c r="I14" s="21">
        <f>H14/$H$51</f>
        <v>23.59843806646526</v>
      </c>
      <c r="J14" s="32"/>
      <c r="K14" s="32"/>
      <c r="L14" s="21">
        <v>101.30370000000001</v>
      </c>
      <c r="M14" s="21">
        <f>L14/$L$51</f>
        <v>26.305816670994549</v>
      </c>
      <c r="N14" s="20"/>
      <c r="O14" s="21">
        <v>181.53066999999999</v>
      </c>
      <c r="P14" s="21">
        <f>O14/$O$51</f>
        <v>47.98590272270684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>
        <v>18.645009999999999</v>
      </c>
      <c r="I15" s="21">
        <f>H15/$H$51</f>
        <v>5.6329335347432021</v>
      </c>
      <c r="J15" s="32"/>
      <c r="K15" s="32"/>
      <c r="L15" s="21">
        <v>21.589590000000001</v>
      </c>
      <c r="M15" s="21">
        <f t="shared" ref="M15:M19" si="0">L15/$L$51</f>
        <v>5.6062295507660354</v>
      </c>
      <c r="N15" s="20"/>
      <c r="O15" s="21">
        <v>13.472</v>
      </c>
      <c r="P15" s="21">
        <f t="shared" ref="P15:P19" si="1">O15/$O$51</f>
        <v>3.561194818926777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H16/$H$51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f>0.00192+1.58897</f>
        <v>1.5908899999999999</v>
      </c>
      <c r="I19" s="21">
        <f>H19/$H$51</f>
        <v>0.48063141993957703</v>
      </c>
      <c r="J19" s="32"/>
      <c r="K19" s="32"/>
      <c r="L19" s="21">
        <f>3.8241</f>
        <v>3.8241000000000001</v>
      </c>
      <c r="M19" s="21">
        <f t="shared" si="0"/>
        <v>0.99301480135029863</v>
      </c>
      <c r="N19" s="20"/>
      <c r="O19" s="21">
        <f>3.8386</f>
        <v>3.8386</v>
      </c>
      <c r="P19" s="21">
        <f t="shared" si="1"/>
        <v>1.0146973301612476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301.16230000000002</v>
      </c>
      <c r="I20" s="21">
        <f>H20/H51</f>
        <v>90.985589123867072</v>
      </c>
      <c r="J20" s="32"/>
      <c r="K20" s="32"/>
      <c r="L20" s="21">
        <v>236.904</v>
      </c>
      <c r="M20" s="21">
        <f>L20/L51</f>
        <v>61.517527914827319</v>
      </c>
      <c r="N20" s="20"/>
      <c r="O20" s="21">
        <v>390.16734000000002</v>
      </c>
      <c r="P20" s="21">
        <f>O20/O51</f>
        <v>103.13701823949246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91.930019999999985</v>
      </c>
      <c r="I21" s="21">
        <f>I22+I23+I24</f>
        <v>27.327800604229605</v>
      </c>
      <c r="J21" s="32"/>
      <c r="K21" s="32"/>
      <c r="L21" s="21">
        <f>SUM(L22:L24)</f>
        <v>59.854719999999993</v>
      </c>
      <c r="M21" s="21">
        <f>SUM(M22:M24)</f>
        <v>15.542643469228771</v>
      </c>
      <c r="N21" s="20"/>
      <c r="O21" s="21">
        <f>SUM(O22:O24)</f>
        <v>91.851690000000005</v>
      </c>
      <c r="P21" s="21">
        <f>SUM(P22:P24)</f>
        <v>24.280118953211733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66.83972</v>
      </c>
      <c r="I22" s="21">
        <f>H22/$H$51</f>
        <v>20.193268882175225</v>
      </c>
      <c r="J22" s="32"/>
      <c r="K22" s="32"/>
      <c r="L22" s="21">
        <v>52.118879999999997</v>
      </c>
      <c r="M22" s="21">
        <f>L22/L51</f>
        <v>13.533856141262008</v>
      </c>
      <c r="N22" s="20"/>
      <c r="O22" s="21">
        <v>85.83681</v>
      </c>
      <c r="P22" s="21">
        <f>O22/$O$51</f>
        <v>22.690142743854082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7.0652999999999997</v>
      </c>
      <c r="I23" s="21">
        <f t="shared" ref="I23:I26" si="3">H23/$H$51</f>
        <v>2.1345317220543807</v>
      </c>
      <c r="J23" s="32"/>
      <c r="K23" s="32"/>
      <c r="L23" s="21">
        <v>6.9344299999999999</v>
      </c>
      <c r="M23" s="21">
        <f>L23/L51</f>
        <v>1.8006829394962347</v>
      </c>
      <c r="N23" s="20"/>
      <c r="O23" s="21">
        <v>6.0148799999999998</v>
      </c>
      <c r="P23" s="21">
        <f>O23/O51</f>
        <v>1.5899762093576524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0">
        <v>18.024999999999999</v>
      </c>
      <c r="I24" s="21">
        <f>ROUND(H24/$H$51,0)</f>
        <v>5</v>
      </c>
      <c r="J24" s="32"/>
      <c r="K24" s="32"/>
      <c r="L24" s="21">
        <f>0.0391+0.76231</f>
        <v>0.80141000000000007</v>
      </c>
      <c r="M24" s="21">
        <f>L24/L51</f>
        <v>0.20810438847052715</v>
      </c>
      <c r="N24" s="20"/>
      <c r="O24" s="21"/>
      <c r="P24" s="21">
        <f>O24/O51</f>
        <v>0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41.136339999999997</v>
      </c>
      <c r="I25" s="21">
        <f t="shared" si="3"/>
        <v>12.427897280966766</v>
      </c>
      <c r="J25" s="32"/>
      <c r="K25" s="32"/>
      <c r="L25" s="21">
        <v>69.247</v>
      </c>
      <c r="M25" s="21">
        <f>L25/L51</f>
        <v>17.981563230329783</v>
      </c>
      <c r="N25" s="20"/>
      <c r="O25" s="21">
        <v>102.06778</v>
      </c>
      <c r="P25" s="21">
        <f>O25/O51</f>
        <v>26.980644990748079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104.01137</v>
      </c>
      <c r="I26" s="21">
        <f t="shared" si="3"/>
        <v>31.423374622356494</v>
      </c>
      <c r="J26" s="32"/>
      <c r="K26" s="32"/>
      <c r="L26" s="21">
        <v>107.26600000000001</v>
      </c>
      <c r="M26" s="21">
        <f>L26/L51</f>
        <v>27.854063879511816</v>
      </c>
      <c r="N26" s="20"/>
      <c r="O26" s="21">
        <v>146.38068999999999</v>
      </c>
      <c r="P26" s="21">
        <f>O26/O51</f>
        <v>38.694340470526029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/>
      <c r="I27" s="21">
        <f>H27/H51</f>
        <v>0</v>
      </c>
      <c r="J27" s="32"/>
      <c r="K27" s="32"/>
      <c r="L27" s="21"/>
      <c r="M27" s="21">
        <f>L27/L51</f>
        <v>0</v>
      </c>
      <c r="N27" s="20"/>
      <c r="O27" s="21">
        <v>8.5888600000000004</v>
      </c>
      <c r="P27" s="21">
        <f>O27/O51</f>
        <v>2.2703832936822628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636.58676000000014</v>
      </c>
      <c r="I30" s="21">
        <f>I27+I26+I12</f>
        <v>191.87666465256797</v>
      </c>
      <c r="J30" s="32"/>
      <c r="K30" s="32"/>
      <c r="L30" s="21">
        <f>L12+L26+L27+L28+L29</f>
        <v>599.98910999999998</v>
      </c>
      <c r="M30" s="21">
        <f>M12+M26+M27+M28+M29</f>
        <v>155.80085951700858</v>
      </c>
      <c r="N30" s="20"/>
      <c r="O30" s="21">
        <f>O12+O26+O27+O28+O29</f>
        <v>937.89762999999994</v>
      </c>
      <c r="P30" s="21">
        <f>P12+P26+P27+P28+P29</f>
        <v>247.92430081945545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H33+H34+H35</f>
        <v>69.207994173534729</v>
      </c>
      <c r="I32" s="21">
        <f>I33+I34+I35</f>
        <v>140.0699651963746</v>
      </c>
      <c r="J32" s="32"/>
      <c r="K32" s="32"/>
      <c r="L32" s="21">
        <f>SUM(L33:L35)</f>
        <v>62.055482345624519</v>
      </c>
      <c r="M32" s="21">
        <f>M33+M34+M35</f>
        <v>37.392206284082064</v>
      </c>
      <c r="N32" s="20"/>
      <c r="O32" s="21">
        <f>O33+O34+O35</f>
        <v>103.26295053431139</v>
      </c>
      <c r="P32" s="21">
        <f>P33+P34+P35</f>
        <v>180.98473959820248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I30*H52*10%</f>
        <v>58.503195052567975</v>
      </c>
      <c r="I33" s="21">
        <f>H33/H52</f>
        <v>19.187666465256797</v>
      </c>
      <c r="J33" s="20"/>
      <c r="K33" s="20"/>
      <c r="L33" s="21">
        <f>M30*L52*10%</f>
        <v>54.857482635938723</v>
      </c>
      <c r="M33" s="21">
        <f>L33/L52</f>
        <v>15.580085951700859</v>
      </c>
      <c r="N33" s="20"/>
      <c r="O33" s="21">
        <f>P30*O52*10%</f>
        <v>86.376826405498278</v>
      </c>
      <c r="P33" s="21">
        <f>O33/O52</f>
        <v>24.792430081945543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1">
        <f>I30*H53*14%</f>
        <v>5.5337230085800604</v>
      </c>
      <c r="I34" s="21">
        <f>H34/H53</f>
        <v>26.862733051359516</v>
      </c>
      <c r="J34" s="20"/>
      <c r="K34" s="20"/>
      <c r="L34" s="21">
        <f>M30*L53*14%</f>
        <v>7.1979997096857966</v>
      </c>
      <c r="M34" s="21">
        <f>L34/L53</f>
        <v>21.812120332381202</v>
      </c>
      <c r="N34" s="20"/>
      <c r="O34" s="21">
        <f>P30*O53*14%</f>
        <v>7.7749060736981246</v>
      </c>
      <c r="P34" s="21">
        <f>O34/O53</f>
        <v>34.709402114723773</v>
      </c>
      <c r="Q34" s="11"/>
    </row>
    <row r="35" spans="1:17" ht="16.5" customHeight="1">
      <c r="A35" s="25"/>
      <c r="B35" s="10" t="s">
        <v>93</v>
      </c>
      <c r="C35" s="9"/>
      <c r="D35" s="11"/>
      <c r="E35" s="11"/>
      <c r="F35" s="11"/>
      <c r="G35" s="11"/>
      <c r="H35" s="21">
        <f>I30*H54*49%</f>
        <v>5.1710761123867064</v>
      </c>
      <c r="I35" s="21">
        <f>H35/H54</f>
        <v>94.019565679758301</v>
      </c>
      <c r="J35" s="20"/>
      <c r="K35" s="20"/>
      <c r="L35" s="21">
        <f>M30*L54*49%</f>
        <v>0</v>
      </c>
      <c r="M35" s="21"/>
      <c r="N35" s="20"/>
      <c r="O35" s="21">
        <f>P30*O54*49%</f>
        <v>9.1112180551149873</v>
      </c>
      <c r="P35" s="21">
        <f>O35/O54</f>
        <v>121.48290740153317</v>
      </c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H37+H38+H39</f>
        <v>12.457438951236254</v>
      </c>
      <c r="I36" s="21">
        <f>H36/H51</f>
        <v>3.7635767224278713</v>
      </c>
      <c r="J36" s="32"/>
      <c r="K36" s="32"/>
      <c r="L36" s="21">
        <f>L37+L38+L39</f>
        <v>11.169986822212412</v>
      </c>
      <c r="M36" s="21">
        <f>M37+M38+M39</f>
        <v>6.7305971311347701</v>
      </c>
      <c r="N36" s="20"/>
      <c r="O36" s="21">
        <f>O37+O38+O39</f>
        <v>18.587331096176051</v>
      </c>
      <c r="P36" s="21">
        <f>P37+P38+P39</f>
        <v>32.577253127676443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10.530575109462236</v>
      </c>
      <c r="I37" s="21">
        <f>H37/H52</f>
        <v>3.4537799637462236</v>
      </c>
      <c r="J37" s="20"/>
      <c r="K37" s="20"/>
      <c r="L37" s="21">
        <f>L33*18%</f>
        <v>9.8743468744689693</v>
      </c>
      <c r="M37" s="21">
        <f>L37/L52</f>
        <v>2.8044154713061542</v>
      </c>
      <c r="N37" s="20"/>
      <c r="O37" s="21">
        <f>O33*18%</f>
        <v>15.547828752989689</v>
      </c>
      <c r="P37" s="21">
        <f>O37/O52</f>
        <v>4.4626374147501977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1">
        <f t="shared" ref="H38:H39" si="4">H34*18%</f>
        <v>0.99607014154441087</v>
      </c>
      <c r="I38" s="21">
        <f t="shared" ref="I38:I39" si="5">H38/H53</f>
        <v>4.8352919492447128</v>
      </c>
      <c r="J38" s="20"/>
      <c r="K38" s="20"/>
      <c r="L38" s="21">
        <f t="shared" ref="L38:L39" si="6">L34*18%</f>
        <v>1.2956399477434433</v>
      </c>
      <c r="M38" s="21">
        <f t="shared" ref="M38" si="7">L38/L53</f>
        <v>3.9261816598286159</v>
      </c>
      <c r="N38" s="20"/>
      <c r="O38" s="21">
        <f>O34*18%</f>
        <v>1.3994830932656623</v>
      </c>
      <c r="P38" s="21">
        <f>O38/O53</f>
        <v>6.2476923806502782</v>
      </c>
      <c r="Q38" s="11"/>
    </row>
    <row r="39" spans="1:17">
      <c r="A39" s="19"/>
      <c r="B39" s="10" t="s">
        <v>93</v>
      </c>
      <c r="C39" s="9"/>
      <c r="D39" s="11"/>
      <c r="E39" s="11"/>
      <c r="F39" s="11"/>
      <c r="G39" s="11"/>
      <c r="H39" s="21">
        <f t="shared" si="4"/>
        <v>0.93079370022960717</v>
      </c>
      <c r="I39" s="21">
        <f t="shared" si="5"/>
        <v>16.923521822356495</v>
      </c>
      <c r="J39" s="20"/>
      <c r="K39" s="20"/>
      <c r="L39" s="21">
        <f t="shared" si="6"/>
        <v>0</v>
      </c>
      <c r="M39" s="21"/>
      <c r="N39" s="20"/>
      <c r="O39" s="21">
        <f>O35*18%</f>
        <v>1.6400192499206976</v>
      </c>
      <c r="P39" s="21">
        <f>O39/O54</f>
        <v>21.86692333227597</v>
      </c>
      <c r="Q39" s="11"/>
    </row>
    <row r="40" spans="1:17" ht="30">
      <c r="A40" s="19" t="s">
        <v>53</v>
      </c>
      <c r="B40" s="10" t="s">
        <v>34</v>
      </c>
      <c r="C40" s="9">
        <v>25</v>
      </c>
      <c r="D40" s="11"/>
      <c r="E40" s="11"/>
      <c r="F40" s="31"/>
      <c r="G40" s="31"/>
      <c r="H40" s="21">
        <f>H32-H36</f>
        <v>56.750555222298473</v>
      </c>
      <c r="I40" s="21">
        <f>H40/H51</f>
        <v>17.145182846615853</v>
      </c>
      <c r="J40" s="32"/>
      <c r="K40" s="32"/>
      <c r="L40" s="21">
        <f>L32-L36</f>
        <v>50.885495523412104</v>
      </c>
      <c r="M40" s="21">
        <f>M32-M36</f>
        <v>30.661609152947293</v>
      </c>
      <c r="N40" s="20"/>
      <c r="O40" s="21">
        <f>O32-O36</f>
        <v>84.675619438135328</v>
      </c>
      <c r="P40" s="21">
        <f>O40/O52</f>
        <v>24.304138759510714</v>
      </c>
      <c r="Q40" s="11"/>
    </row>
    <row r="41" spans="1:17">
      <c r="A41" s="19" t="s">
        <v>54</v>
      </c>
      <c r="B41" s="10" t="s">
        <v>35</v>
      </c>
      <c r="C41" s="9">
        <v>26</v>
      </c>
      <c r="D41" s="11"/>
      <c r="E41" s="11"/>
      <c r="F41" s="31"/>
      <c r="G41" s="31"/>
      <c r="H41" s="21">
        <f>H40*15%</f>
        <v>8.512583283344771</v>
      </c>
      <c r="I41" s="21">
        <f>H41/H51</f>
        <v>2.5717774269923779</v>
      </c>
      <c r="J41" s="32"/>
      <c r="K41" s="32"/>
      <c r="L41" s="21">
        <f>L40*15%</f>
        <v>7.6328243285118154</v>
      </c>
      <c r="M41" s="21">
        <f>L41/O51</f>
        <v>2.0176643744413996</v>
      </c>
      <c r="N41" s="20"/>
      <c r="O41" s="21">
        <f>O40*15%</f>
        <v>12.701342915720298</v>
      </c>
      <c r="P41" s="21">
        <f>P36/O51</f>
        <v>8.6114864202158188</v>
      </c>
      <c r="Q41" s="11"/>
    </row>
    <row r="42" spans="1:17" hidden="1">
      <c r="A42" s="19" t="s">
        <v>76</v>
      </c>
      <c r="B42" s="10" t="s">
        <v>71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O42/3424</f>
        <v>0</v>
      </c>
      <c r="Q42" s="11"/>
    </row>
    <row r="43" spans="1:17" hidden="1">
      <c r="A43" s="19" t="s">
        <v>77</v>
      </c>
      <c r="B43" s="10" t="s">
        <v>72</v>
      </c>
      <c r="C43" s="9"/>
      <c r="D43" s="11"/>
      <c r="E43" s="11"/>
      <c r="F43" s="11"/>
      <c r="G43" s="11"/>
      <c r="H43" s="20"/>
      <c r="I43" s="21"/>
      <c r="J43" s="20"/>
      <c r="K43" s="20"/>
      <c r="L43" s="21"/>
      <c r="M43" s="21"/>
      <c r="N43" s="20"/>
      <c r="O43" s="21"/>
      <c r="P43" s="21">
        <f>P38/14</f>
        <v>0.44626374147501985</v>
      </c>
      <c r="Q43" s="11"/>
    </row>
    <row r="44" spans="1:17" ht="30" hidden="1">
      <c r="A44" s="19" t="s">
        <v>55</v>
      </c>
      <c r="B44" s="10" t="s">
        <v>36</v>
      </c>
      <c r="C44" s="9">
        <v>27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45" hidden="1">
      <c r="A45" s="19" t="s">
        <v>56</v>
      </c>
      <c r="B45" s="10" t="s">
        <v>37</v>
      </c>
      <c r="C45" s="9">
        <v>28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30" hidden="1">
      <c r="A46" s="19" t="s">
        <v>57</v>
      </c>
      <c r="B46" s="10" t="s">
        <v>38</v>
      </c>
      <c r="C46" s="9">
        <v>29</v>
      </c>
      <c r="D46" s="11"/>
      <c r="E46" s="11"/>
      <c r="F46" s="31"/>
      <c r="G46" s="31"/>
      <c r="H46" s="20"/>
      <c r="I46" s="21"/>
      <c r="J46" s="32"/>
      <c r="K46" s="32"/>
      <c r="L46" s="21"/>
      <c r="M46" s="21"/>
      <c r="N46" s="20"/>
      <c r="O46" s="21"/>
      <c r="P46" s="21"/>
      <c r="Q46" s="11"/>
    </row>
    <row r="47" spans="1:17" ht="60">
      <c r="A47" s="19">
        <v>9</v>
      </c>
      <c r="B47" s="10" t="s">
        <v>39</v>
      </c>
      <c r="C47" s="9">
        <v>30</v>
      </c>
      <c r="D47" s="11"/>
      <c r="E47" s="11"/>
      <c r="F47" s="31"/>
      <c r="G47" s="31"/>
      <c r="H47" s="21">
        <f>H30+H32</f>
        <v>705.7947541735349</v>
      </c>
      <c r="I47" s="21">
        <f>H47/H51</f>
        <v>213.23104355695918</v>
      </c>
      <c r="J47" s="32"/>
      <c r="K47" s="32"/>
      <c r="L47" s="21">
        <f>L30+L32</f>
        <v>662.04459234562455</v>
      </c>
      <c r="M47" s="21">
        <f>L47/L51</f>
        <v>171.914981133634</v>
      </c>
      <c r="N47" s="20"/>
      <c r="O47" s="21">
        <f>O30+O32</f>
        <v>1041.1605805343113</v>
      </c>
      <c r="P47" s="21">
        <f>O47/O51</f>
        <v>275.22087775160225</v>
      </c>
      <c r="Q47" s="11"/>
    </row>
    <row r="48" spans="1:17" ht="15.75" thickBot="1">
      <c r="A48" s="19" t="s">
        <v>78</v>
      </c>
      <c r="B48" s="10" t="s">
        <v>71</v>
      </c>
      <c r="C48" s="9"/>
      <c r="D48" s="11"/>
      <c r="E48" s="11"/>
      <c r="F48" s="11"/>
      <c r="G48" s="11"/>
      <c r="H48" s="21"/>
      <c r="I48" s="21">
        <f>I30+I33</f>
        <v>211.06433111782476</v>
      </c>
      <c r="J48" s="21">
        <f t="shared" ref="J48:K48" si="8">J30+J33</f>
        <v>0</v>
      </c>
      <c r="K48" s="21">
        <f t="shared" si="8"/>
        <v>0</v>
      </c>
      <c r="L48" s="18">
        <v>3.5209999999999999</v>
      </c>
      <c r="M48" s="21">
        <f>M30+M33</f>
        <v>171.38094546870943</v>
      </c>
      <c r="N48" s="21">
        <f t="shared" ref="N48" si="9">N30+N33</f>
        <v>0</v>
      </c>
      <c r="O48" s="21"/>
      <c r="P48" s="21">
        <f>P30+P33-0.01</f>
        <v>272.70673090140099</v>
      </c>
      <c r="Q48" s="11"/>
    </row>
    <row r="49" spans="1:17">
      <c r="A49" s="19" t="s">
        <v>79</v>
      </c>
      <c r="B49" s="10" t="s">
        <v>72</v>
      </c>
      <c r="C49" s="9"/>
      <c r="D49" s="11"/>
      <c r="E49" s="11"/>
      <c r="F49" s="11"/>
      <c r="G49" s="11"/>
      <c r="H49" s="21"/>
      <c r="I49" s="21">
        <f>I30+I34</f>
        <v>218.73939770392749</v>
      </c>
      <c r="J49" s="21">
        <f t="shared" ref="J49:K49" si="10">J30+J34</f>
        <v>0</v>
      </c>
      <c r="K49" s="21">
        <f t="shared" si="10"/>
        <v>0</v>
      </c>
      <c r="L49" s="22">
        <v>0.33</v>
      </c>
      <c r="M49" s="21">
        <f>M30+M34</f>
        <v>177.61297984938977</v>
      </c>
      <c r="N49" s="21">
        <f t="shared" ref="N49" si="11">N30+N34</f>
        <v>0</v>
      </c>
      <c r="O49" s="21"/>
      <c r="P49" s="21">
        <f>P30+P34</f>
        <v>282.63370293417921</v>
      </c>
      <c r="Q49" s="11"/>
    </row>
    <row r="50" spans="1:17">
      <c r="A50" s="19" t="s">
        <v>85</v>
      </c>
      <c r="B50" s="10" t="s">
        <v>93</v>
      </c>
      <c r="C50" s="9"/>
      <c r="D50" s="11"/>
      <c r="E50" s="11"/>
      <c r="F50" s="11"/>
      <c r="G50" s="11"/>
      <c r="H50" s="21"/>
      <c r="I50" s="21">
        <f>I30+I35</f>
        <v>285.89623033232624</v>
      </c>
      <c r="J50" s="21"/>
      <c r="K50" s="21"/>
      <c r="L50" s="21"/>
      <c r="M50" s="21"/>
      <c r="N50" s="21"/>
      <c r="O50" s="21"/>
      <c r="P50" s="21">
        <f>P30+P35-0.01</f>
        <v>369.39720822098866</v>
      </c>
      <c r="Q50" s="11"/>
    </row>
    <row r="51" spans="1:17" ht="62.25">
      <c r="A51" s="9">
        <v>10</v>
      </c>
      <c r="B51" s="10" t="s">
        <v>91</v>
      </c>
      <c r="C51" s="9">
        <v>31</v>
      </c>
      <c r="D51" s="11"/>
      <c r="E51" s="11"/>
      <c r="F51" s="31"/>
      <c r="G51" s="31"/>
      <c r="H51" s="26">
        <f>H52+H53+H54</f>
        <v>3.31</v>
      </c>
      <c r="I51" s="21"/>
      <c r="J51" s="32"/>
      <c r="K51" s="32"/>
      <c r="L51" s="26">
        <f>L52+L53+L54</f>
        <v>3.851</v>
      </c>
      <c r="M51" s="21"/>
      <c r="N51" s="20"/>
      <c r="O51" s="26">
        <f>O52+O53+O54</f>
        <v>3.7830000000000004</v>
      </c>
      <c r="P51" s="21"/>
      <c r="Q51" s="11"/>
    </row>
    <row r="52" spans="1:17" ht="15.75" thickBot="1">
      <c r="A52" s="19" t="s">
        <v>80</v>
      </c>
      <c r="B52" s="10" t="s">
        <v>71</v>
      </c>
      <c r="C52" s="9"/>
      <c r="D52" s="11"/>
      <c r="E52" s="11"/>
      <c r="F52" s="11"/>
      <c r="G52" s="11"/>
      <c r="H52" s="20">
        <v>3.0489999999999999</v>
      </c>
      <c r="I52" s="21"/>
      <c r="J52" s="20"/>
      <c r="K52" s="20"/>
      <c r="L52" s="18">
        <v>3.5209999999999999</v>
      </c>
      <c r="M52" s="21"/>
      <c r="N52" s="20"/>
      <c r="O52" s="26">
        <v>3.484</v>
      </c>
      <c r="P52" s="21"/>
      <c r="Q52" s="11"/>
    </row>
    <row r="53" spans="1:17">
      <c r="A53" s="19" t="s">
        <v>81</v>
      </c>
      <c r="B53" s="10" t="s">
        <v>72</v>
      </c>
      <c r="C53" s="9"/>
      <c r="D53" s="11"/>
      <c r="E53" s="11"/>
      <c r="F53" s="11"/>
      <c r="G53" s="11"/>
      <c r="H53" s="20">
        <v>0.20599999999999999</v>
      </c>
      <c r="I53" s="21"/>
      <c r="J53" s="20"/>
      <c r="K53" s="20"/>
      <c r="L53" s="22">
        <v>0.33</v>
      </c>
      <c r="M53" s="21"/>
      <c r="N53" s="20"/>
      <c r="O53" s="26">
        <v>0.224</v>
      </c>
      <c r="P53" s="21"/>
      <c r="Q53" s="11"/>
    </row>
    <row r="54" spans="1:17">
      <c r="A54" s="19" t="s">
        <v>86</v>
      </c>
      <c r="B54" s="10" t="s">
        <v>93</v>
      </c>
      <c r="C54" s="9"/>
      <c r="D54" s="11"/>
      <c r="E54" s="11"/>
      <c r="F54" s="11"/>
      <c r="G54" s="11"/>
      <c r="H54" s="20">
        <v>5.5E-2</v>
      </c>
      <c r="I54" s="21"/>
      <c r="J54" s="20"/>
      <c r="K54" s="20"/>
      <c r="L54" s="20"/>
      <c r="M54" s="21"/>
      <c r="N54" s="20"/>
      <c r="O54" s="26">
        <v>7.4999999999999997E-2</v>
      </c>
      <c r="P54" s="21"/>
      <c r="Q54" s="11"/>
    </row>
    <row r="55" spans="1:17" ht="57">
      <c r="A55" s="12">
        <v>11</v>
      </c>
      <c r="B55" s="13" t="s">
        <v>40</v>
      </c>
      <c r="C55" s="12">
        <v>32</v>
      </c>
      <c r="D55" s="14"/>
      <c r="E55" s="14"/>
      <c r="F55" s="41"/>
      <c r="G55" s="41"/>
      <c r="H55" s="16"/>
      <c r="I55" s="17"/>
      <c r="J55" s="42"/>
      <c r="K55" s="42"/>
      <c r="L55" s="17"/>
      <c r="M55" s="17"/>
      <c r="N55" s="16"/>
      <c r="O55" s="17"/>
      <c r="P55" s="17"/>
      <c r="Q55" s="11"/>
    </row>
    <row r="56" spans="1:17">
      <c r="A56" s="15" t="s">
        <v>82</v>
      </c>
      <c r="B56" s="13" t="s">
        <v>74</v>
      </c>
      <c r="C56" s="12"/>
      <c r="D56" s="14"/>
      <c r="E56" s="14"/>
      <c r="F56" s="14"/>
      <c r="G56" s="14"/>
      <c r="H56" s="17"/>
      <c r="I56" s="17">
        <f>I48</f>
        <v>211.06433111782476</v>
      </c>
      <c r="J56" s="16"/>
      <c r="K56" s="16"/>
      <c r="L56" s="17"/>
      <c r="M56" s="17">
        <f>M48</f>
        <v>171.38094546870943</v>
      </c>
      <c r="N56" s="16"/>
      <c r="O56" s="17"/>
      <c r="P56" s="17">
        <f>P48</f>
        <v>272.70673090140099</v>
      </c>
      <c r="Q56" s="11"/>
    </row>
    <row r="57" spans="1:17" ht="28.5">
      <c r="A57" s="15" t="s">
        <v>83</v>
      </c>
      <c r="B57" s="13" t="s">
        <v>75</v>
      </c>
      <c r="C57" s="12"/>
      <c r="D57" s="14"/>
      <c r="E57" s="14"/>
      <c r="F57" s="14"/>
      <c r="G57" s="14"/>
      <c r="H57" s="17"/>
      <c r="I57" s="17">
        <f>I49</f>
        <v>218.73939770392749</v>
      </c>
      <c r="J57" s="16"/>
      <c r="K57" s="16"/>
      <c r="L57" s="17"/>
      <c r="M57" s="17">
        <f>M49</f>
        <v>177.61297984938977</v>
      </c>
      <c r="N57" s="16"/>
      <c r="O57" s="17"/>
      <c r="P57" s="17">
        <f>P49</f>
        <v>282.63370293417921</v>
      </c>
      <c r="Q57" s="11"/>
    </row>
    <row r="58" spans="1:17">
      <c r="A58" s="15" t="s">
        <v>87</v>
      </c>
      <c r="B58" s="13" t="s">
        <v>93</v>
      </c>
      <c r="C58" s="12"/>
      <c r="D58" s="14"/>
      <c r="E58" s="14"/>
      <c r="F58" s="14"/>
      <c r="G58" s="14"/>
      <c r="H58" s="16"/>
      <c r="I58" s="17">
        <f>I50</f>
        <v>285.89623033232624</v>
      </c>
      <c r="J58" s="16"/>
      <c r="K58" s="16"/>
      <c r="L58" s="17"/>
      <c r="M58" s="17">
        <f>M50</f>
        <v>0</v>
      </c>
      <c r="N58" s="16"/>
      <c r="O58" s="17"/>
      <c r="P58" s="17">
        <f>P50</f>
        <v>369.39720822098866</v>
      </c>
      <c r="Q58" s="11"/>
    </row>
    <row r="59" spans="1:17" ht="36" customHeight="1">
      <c r="A59" s="43" t="s">
        <v>94</v>
      </c>
      <c r="B59" s="43"/>
      <c r="C59" s="43"/>
      <c r="D59" s="43"/>
      <c r="E59" s="43"/>
      <c r="F59" s="43"/>
      <c r="G59" s="43" t="s">
        <v>42</v>
      </c>
      <c r="H59" s="43"/>
      <c r="I59" s="43"/>
      <c r="J59" s="43"/>
      <c r="K59" s="43" t="s">
        <v>84</v>
      </c>
      <c r="L59" s="43"/>
      <c r="M59" s="43"/>
      <c r="N59" s="43"/>
      <c r="O59" s="43"/>
      <c r="P59" s="43"/>
      <c r="Q59" s="43"/>
    </row>
    <row r="60" spans="1:17">
      <c r="A60" s="44" t="s">
        <v>41</v>
      </c>
      <c r="B60" s="44"/>
      <c r="C60" s="44"/>
      <c r="D60" s="44"/>
      <c r="E60" s="44"/>
      <c r="F60" s="44"/>
      <c r="G60" s="44" t="s">
        <v>43</v>
      </c>
      <c r="H60" s="44"/>
      <c r="I60" s="44"/>
      <c r="J60" s="44"/>
      <c r="K60" s="44" t="s">
        <v>44</v>
      </c>
      <c r="L60" s="44"/>
      <c r="M60" s="44"/>
      <c r="N60" s="44"/>
      <c r="O60" s="44"/>
      <c r="P60" s="44"/>
      <c r="Q60" s="44"/>
    </row>
    <row r="61" spans="1:17" ht="15.75" customHeight="1">
      <c r="A61" s="39" t="s">
        <v>45</v>
      </c>
      <c r="B61" s="39"/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>
      <c r="A63" s="3"/>
    </row>
    <row r="64" spans="1:17">
      <c r="A64" s="23"/>
      <c r="B64" s="5"/>
    </row>
    <row r="65" spans="1:17" ht="39.75" customHeight="1">
      <c r="A65" s="23" t="s">
        <v>46</v>
      </c>
      <c r="B65" s="37" t="s">
        <v>47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ht="15.75">
      <c r="A66" s="6" t="s">
        <v>48</v>
      </c>
    </row>
    <row r="67" spans="1:17" ht="15.75">
      <c r="A67" s="7" t="s">
        <v>49</v>
      </c>
    </row>
    <row r="68" spans="1:17">
      <c r="A68" s="7" t="s">
        <v>50</v>
      </c>
    </row>
    <row r="69" spans="1:17">
      <c r="A69" s="8"/>
    </row>
  </sheetData>
  <mergeCells count="83">
    <mergeCell ref="F11:G11"/>
    <mergeCell ref="J11:K11"/>
    <mergeCell ref="F12:G12"/>
    <mergeCell ref="L1:Q5"/>
    <mergeCell ref="A7:Q7"/>
    <mergeCell ref="B8:B10"/>
    <mergeCell ref="C8:C10"/>
    <mergeCell ref="D8:K8"/>
    <mergeCell ref="L8:N9"/>
    <mergeCell ref="O8:Q9"/>
    <mergeCell ref="D9:G9"/>
    <mergeCell ref="H9:K9"/>
    <mergeCell ref="F10:G10"/>
    <mergeCell ref="J10:K10"/>
    <mergeCell ref="J12:K12"/>
    <mergeCell ref="F14:G14"/>
    <mergeCell ref="J14:K14"/>
    <mergeCell ref="F15:G15"/>
    <mergeCell ref="J15:K15"/>
    <mergeCell ref="F13:G13"/>
    <mergeCell ref="J13:K13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6:G36"/>
    <mergeCell ref="J36:K36"/>
    <mergeCell ref="F40:G40"/>
    <mergeCell ref="J40:K40"/>
    <mergeCell ref="F41:G41"/>
    <mergeCell ref="J41:K41"/>
    <mergeCell ref="F44:G44"/>
    <mergeCell ref="J44:K44"/>
    <mergeCell ref="F45:G45"/>
    <mergeCell ref="J45:K45"/>
    <mergeCell ref="F46:G46"/>
    <mergeCell ref="J46:K46"/>
    <mergeCell ref="F47:G47"/>
    <mergeCell ref="J47:K47"/>
    <mergeCell ref="F51:G51"/>
    <mergeCell ref="J51:K51"/>
    <mergeCell ref="A61:F61"/>
    <mergeCell ref="G61:J61"/>
    <mergeCell ref="K61:Q61"/>
    <mergeCell ref="B65:Q65"/>
    <mergeCell ref="F55:G55"/>
    <mergeCell ref="J55:K55"/>
    <mergeCell ref="A59:F59"/>
    <mergeCell ref="G59:J59"/>
    <mergeCell ref="K59:Q59"/>
    <mergeCell ref="A60:F60"/>
    <mergeCell ref="G60:J60"/>
    <mergeCell ref="K60:Q60"/>
  </mergeCells>
  <pageMargins left="1.299212598425197" right="0.70866141732283472" top="0.55118110236220474" bottom="0.74803149606299213" header="0.31496062992125984" footer="0.31496062992125984"/>
  <pageSetup paperSize="9" scale="70" orientation="portrait" r:id="rId1"/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Q69"/>
  <sheetViews>
    <sheetView view="pageBreakPreview" zoomScale="82" zoomScaleSheetLayoutView="82" workbookViewId="0">
      <selection activeCell="A8" sqref="A8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98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 ht="15.75">
      <c r="A8" s="9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9" t="s">
        <v>1</v>
      </c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24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151.33383999999998</v>
      </c>
      <c r="I12" s="21">
        <f>I13+I20+I21+I25-0.01</f>
        <v>225.17916666666662</v>
      </c>
      <c r="J12" s="32"/>
      <c r="K12" s="32"/>
      <c r="L12" s="21">
        <f>L13+L20+L21+L25</f>
        <v>148.58665999999999</v>
      </c>
      <c r="M12" s="21">
        <f>M13+M20+M21+M25+0.01</f>
        <v>211.97385164051357</v>
      </c>
      <c r="N12" s="20"/>
      <c r="O12" s="21">
        <f>O13+O20+O21+O25</f>
        <v>159.19845000000001</v>
      </c>
      <c r="P12" s="21">
        <f>P13+P20+P21+P25</f>
        <v>236.90245535714286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36.257639999999995</v>
      </c>
      <c r="I13" s="21">
        <f>I14+I15+I19</f>
        <v>53.954821428571421</v>
      </c>
      <c r="J13" s="32"/>
      <c r="K13" s="32"/>
      <c r="L13" s="21">
        <f>SUM(L14:L19)</f>
        <v>40.05162</v>
      </c>
      <c r="M13" s="21">
        <f>SUM(M14:M19)</f>
        <v>57.134978601997162</v>
      </c>
      <c r="N13" s="20"/>
      <c r="O13" s="21">
        <f>SUM(O14:O19)</f>
        <v>30.613209999999999</v>
      </c>
      <c r="P13" s="21">
        <f>SUM(P14:P19)</f>
        <v>45.555372023809525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>
        <v>29.81297</v>
      </c>
      <c r="I14" s="21">
        <f>H14/$H$51</f>
        <v>44.364538690476188</v>
      </c>
      <c r="J14" s="32"/>
      <c r="K14" s="32"/>
      <c r="L14" s="21">
        <v>32.843940000000003</v>
      </c>
      <c r="M14" s="21">
        <f>L14/$L$51</f>
        <v>46.852981455064203</v>
      </c>
      <c r="N14" s="20"/>
      <c r="O14" s="21">
        <v>27.37799</v>
      </c>
      <c r="P14" s="21">
        <f>O14/$O$51</f>
        <v>40.741056547619046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>
        <v>5.9241299999999999</v>
      </c>
      <c r="I15" s="21">
        <f>H15/$H$51</f>
        <v>8.8156696428571415</v>
      </c>
      <c r="J15" s="32"/>
      <c r="K15" s="32"/>
      <c r="L15" s="21">
        <v>6.4093799999999996</v>
      </c>
      <c r="M15" s="21">
        <f t="shared" ref="M15:M19" si="0">L15/$L$51</f>
        <v>9.1431954350927249</v>
      </c>
      <c r="N15" s="20"/>
      <c r="O15" s="21">
        <v>2.3544999999999998</v>
      </c>
      <c r="P15" s="21">
        <f t="shared" ref="P15:P19" si="1">O15/$O$51</f>
        <v>3.5037202380952377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H16/$H$51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f>0.00054+0.52</f>
        <v>0.52054</v>
      </c>
      <c r="I19" s="21">
        <f>H19/$H$51</f>
        <v>0.77461309523809518</v>
      </c>
      <c r="J19" s="32"/>
      <c r="K19" s="32"/>
      <c r="L19" s="21">
        <f>0.7983</f>
        <v>0.79830000000000001</v>
      </c>
      <c r="M19" s="21">
        <f t="shared" si="0"/>
        <v>1.1388017118402283</v>
      </c>
      <c r="N19" s="20"/>
      <c r="O19" s="21">
        <f>0.88072</f>
        <v>0.88071999999999995</v>
      </c>
      <c r="P19" s="21">
        <f t="shared" si="1"/>
        <v>1.3105952380952379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83.649630000000002</v>
      </c>
      <c r="I20" s="21">
        <f>H20/H51</f>
        <v>124.47861607142856</v>
      </c>
      <c r="J20" s="32"/>
      <c r="K20" s="32"/>
      <c r="L20" s="21">
        <v>70.321200000000005</v>
      </c>
      <c r="M20" s="21">
        <f>L20/L51</f>
        <v>100.31554921540658</v>
      </c>
      <c r="N20" s="20"/>
      <c r="O20" s="21">
        <v>86.078000000000003</v>
      </c>
      <c r="P20" s="21">
        <f>O20/O51</f>
        <v>128.0922619047619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19.912269999999999</v>
      </c>
      <c r="I21" s="21">
        <f>I22+I23+I24</f>
        <v>29.631354166666668</v>
      </c>
      <c r="J21" s="32"/>
      <c r="K21" s="32"/>
      <c r="L21" s="21">
        <f>SUM(L22:L24)</f>
        <v>17.658949999999997</v>
      </c>
      <c r="M21" s="21">
        <f>SUM(M22:M24)</f>
        <v>25.191084165477893</v>
      </c>
      <c r="N21" s="20"/>
      <c r="O21" s="21">
        <f>SUM(O22:O24)</f>
        <v>19.989239999999999</v>
      </c>
      <c r="P21" s="21">
        <f>SUM(P22:P24)</f>
        <v>29.745892857142852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18.108270000000001</v>
      </c>
      <c r="I22" s="21">
        <f>H22/$H$51</f>
        <v>26.946830357142858</v>
      </c>
      <c r="J22" s="32"/>
      <c r="K22" s="32"/>
      <c r="L22" s="21">
        <v>15.47</v>
      </c>
      <c r="M22" s="21">
        <f>L22/L51</f>
        <v>22.068473609129818</v>
      </c>
      <c r="N22" s="20"/>
      <c r="O22" s="21">
        <v>18.937239999999999</v>
      </c>
      <c r="P22" s="21">
        <f>O22/$O$51</f>
        <v>28.180416666666662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1.804</v>
      </c>
      <c r="I23" s="21">
        <f t="shared" ref="I23:I26" si="3">H23/$H$51</f>
        <v>2.6845238095238093</v>
      </c>
      <c r="J23" s="32"/>
      <c r="K23" s="32"/>
      <c r="L23" s="21">
        <v>1.9624600000000001</v>
      </c>
      <c r="M23" s="21">
        <f>L23/L51</f>
        <v>2.7995149786019975</v>
      </c>
      <c r="N23" s="20"/>
      <c r="O23" s="21">
        <v>1.052</v>
      </c>
      <c r="P23" s="21">
        <f>O23/O51</f>
        <v>1.5654761904761905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0"/>
      <c r="I24" s="21">
        <f>ROUND(H24/$H$51,0)</f>
        <v>0</v>
      </c>
      <c r="J24" s="32"/>
      <c r="K24" s="32"/>
      <c r="L24" s="21">
        <f>0.01105+0.21544</f>
        <v>0.22649</v>
      </c>
      <c r="M24" s="21">
        <f>L24/L51</f>
        <v>0.32309557774607706</v>
      </c>
      <c r="N24" s="20"/>
      <c r="O24" s="21"/>
      <c r="P24" s="21">
        <f>O24/O51</f>
        <v>0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11.5143</v>
      </c>
      <c r="I25" s="21">
        <f>H25/$H$51-0.01</f>
        <v>17.124374999999997</v>
      </c>
      <c r="J25" s="32"/>
      <c r="K25" s="32"/>
      <c r="L25" s="21">
        <v>20.55489</v>
      </c>
      <c r="M25" s="21">
        <f>L25/L51</f>
        <v>29.322239657631957</v>
      </c>
      <c r="N25" s="20"/>
      <c r="O25" s="21">
        <v>22.518000000000001</v>
      </c>
      <c r="P25" s="21">
        <f>O25/O51</f>
        <v>33.508928571428569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24.378879999999999</v>
      </c>
      <c r="I26" s="21">
        <f t="shared" si="3"/>
        <v>36.278095238095233</v>
      </c>
      <c r="J26" s="32"/>
      <c r="K26" s="32"/>
      <c r="L26" s="21">
        <v>32.344349999999999</v>
      </c>
      <c r="M26" s="21">
        <f>L26/L51</f>
        <v>46.140299572039943</v>
      </c>
      <c r="N26" s="20"/>
      <c r="O26" s="21">
        <v>29.772870000000001</v>
      </c>
      <c r="P26" s="21">
        <f>O26/O51</f>
        <v>44.30486607142857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/>
      <c r="I27" s="21">
        <f>H27/H51</f>
        <v>0</v>
      </c>
      <c r="J27" s="32"/>
      <c r="K27" s="32"/>
      <c r="L27" s="21"/>
      <c r="M27" s="21">
        <f>L27/L51</f>
        <v>0</v>
      </c>
      <c r="N27" s="20"/>
      <c r="O27" s="21">
        <v>1.74644</v>
      </c>
      <c r="P27" s="21">
        <f>O27/O51</f>
        <v>2.5988690476190475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175.71271999999999</v>
      </c>
      <c r="I30" s="21">
        <f>I27+I26+I12</f>
        <v>261.45726190476182</v>
      </c>
      <c r="J30" s="32"/>
      <c r="K30" s="32"/>
      <c r="L30" s="21">
        <f>L12+L26+L27+L28+L29</f>
        <v>180.93100999999999</v>
      </c>
      <c r="M30" s="21">
        <f>M12+M26+M27+M28+M29-0.02</f>
        <v>258.09415121255353</v>
      </c>
      <c r="N30" s="20"/>
      <c r="O30" s="21">
        <f>O12+O26+O27+O28+O29</f>
        <v>190.71776000000003</v>
      </c>
      <c r="P30" s="21">
        <f>P12+P26+P27+P28+P29</f>
        <v>283.80619047619052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H33+H34+H35</f>
        <v>31.335652839285707</v>
      </c>
      <c r="I32" s="21">
        <f>H32/H51</f>
        <v>46.630435772746587</v>
      </c>
      <c r="J32" s="32"/>
      <c r="K32" s="32"/>
      <c r="L32" s="21">
        <f>SUM(L33:L35)</f>
        <v>18.092400000000001</v>
      </c>
      <c r="M32" s="21">
        <f>L32/L51</f>
        <v>25.809415121255352</v>
      </c>
      <c r="N32" s="20"/>
      <c r="O32" s="21">
        <f>O33+O34+O35</f>
        <v>33.682118685714293</v>
      </c>
      <c r="P32" s="21">
        <f>O32/O51</f>
        <v>50.122200425170078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I30*H52*10%</f>
        <v>14.040254964285712</v>
      </c>
      <c r="I33" s="21">
        <f>H33/H52</f>
        <v>26.145726190476186</v>
      </c>
      <c r="J33" s="20"/>
      <c r="K33" s="20"/>
      <c r="L33" s="21">
        <f>M30*L52*10%</f>
        <v>18.092400000000001</v>
      </c>
      <c r="M33" s="21">
        <f>L33/L52</f>
        <v>25.809415121255352</v>
      </c>
      <c r="N33" s="20"/>
      <c r="O33" s="21">
        <f>P30*O52*10%</f>
        <v>15.325534285714291</v>
      </c>
      <c r="P33" s="21">
        <f>O33/O52</f>
        <v>28.380619047619057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1">
        <f>I30*H53*14%</f>
        <v>0</v>
      </c>
      <c r="I34" s="21"/>
      <c r="J34" s="20"/>
      <c r="K34" s="20"/>
      <c r="L34" s="21">
        <f>M30*L53*14%</f>
        <v>0</v>
      </c>
      <c r="M34" s="21"/>
      <c r="N34" s="20"/>
      <c r="O34" s="21">
        <f>P30*O53*14%</f>
        <v>0</v>
      </c>
      <c r="P34" s="21"/>
      <c r="Q34" s="11"/>
    </row>
    <row r="35" spans="1:17" ht="16.5" customHeight="1">
      <c r="A35" s="25"/>
      <c r="B35" s="10" t="s">
        <v>93</v>
      </c>
      <c r="C35" s="9"/>
      <c r="D35" s="11"/>
      <c r="E35" s="11"/>
      <c r="F35" s="11"/>
      <c r="G35" s="11"/>
      <c r="H35" s="21">
        <f>I30*H54*49%</f>
        <v>17.295397874999995</v>
      </c>
      <c r="I35" s="21">
        <f>H35/H54</f>
        <v>128.1140583333333</v>
      </c>
      <c r="J35" s="20"/>
      <c r="K35" s="20"/>
      <c r="L35" s="21">
        <f>M30*L54*49%</f>
        <v>0</v>
      </c>
      <c r="M35" s="21"/>
      <c r="N35" s="20"/>
      <c r="O35" s="21">
        <f>P30*O54*49%</f>
        <v>18.356584400000003</v>
      </c>
      <c r="P35" s="21">
        <f>O35/O54</f>
        <v>139.06503333333336</v>
      </c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H37+H38+H39</f>
        <v>5.6404175110714272</v>
      </c>
      <c r="I36" s="21">
        <f>H36/H51</f>
        <v>8.3934784390943857</v>
      </c>
      <c r="J36" s="32"/>
      <c r="K36" s="32"/>
      <c r="L36" s="21">
        <f>L37+L38+L39</f>
        <v>3.2566320000000002</v>
      </c>
      <c r="M36" s="21">
        <f>M37+M38+M39</f>
        <v>4.6456947218259632</v>
      </c>
      <c r="N36" s="20"/>
      <c r="O36" s="21">
        <f>O37+O38+O39</f>
        <v>6.0627813634285719</v>
      </c>
      <c r="P36" s="21">
        <f>O36/O51</f>
        <v>9.0219960765306126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2.5272458935714281</v>
      </c>
      <c r="I37" s="21">
        <f>H37/H52</f>
        <v>4.7062307142857129</v>
      </c>
      <c r="J37" s="20"/>
      <c r="K37" s="20"/>
      <c r="L37" s="21">
        <f>L33*18%</f>
        <v>3.2566320000000002</v>
      </c>
      <c r="M37" s="21">
        <f>L37/L52</f>
        <v>4.6456947218259632</v>
      </c>
      <c r="N37" s="20"/>
      <c r="O37" s="21">
        <f>O33*18%</f>
        <v>2.7585961714285721</v>
      </c>
      <c r="P37" s="21">
        <f>O37/O52</f>
        <v>5.108511428571429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1">
        <f t="shared" ref="H38:H39" si="4">H34*18%</f>
        <v>0</v>
      </c>
      <c r="I38" s="21"/>
      <c r="J38" s="20"/>
      <c r="K38" s="20"/>
      <c r="L38" s="21">
        <f t="shared" ref="L38:L39" si="5">L34*18%</f>
        <v>0</v>
      </c>
      <c r="M38" s="21"/>
      <c r="N38" s="20"/>
      <c r="O38" s="21">
        <f>O34*18%</f>
        <v>0</v>
      </c>
      <c r="P38" s="21"/>
      <c r="Q38" s="11"/>
    </row>
    <row r="39" spans="1:17">
      <c r="A39" s="19"/>
      <c r="B39" s="10" t="s">
        <v>93</v>
      </c>
      <c r="C39" s="9"/>
      <c r="D39" s="11"/>
      <c r="E39" s="11"/>
      <c r="F39" s="11"/>
      <c r="G39" s="11"/>
      <c r="H39" s="21">
        <f t="shared" si="4"/>
        <v>3.113171617499999</v>
      </c>
      <c r="I39" s="21">
        <f t="shared" ref="I39" si="6">H39/H54</f>
        <v>23.060530499999992</v>
      </c>
      <c r="J39" s="20"/>
      <c r="K39" s="20"/>
      <c r="L39" s="21">
        <f t="shared" si="5"/>
        <v>0</v>
      </c>
      <c r="M39" s="21"/>
      <c r="N39" s="20"/>
      <c r="O39" s="21">
        <f>O35*18%</f>
        <v>3.3041851920000003</v>
      </c>
      <c r="P39" s="21">
        <f>O39/O54</f>
        <v>25.031706</v>
      </c>
      <c r="Q39" s="11"/>
    </row>
    <row r="40" spans="1:17" ht="30">
      <c r="A40" s="19" t="s">
        <v>53</v>
      </c>
      <c r="B40" s="10" t="s">
        <v>34</v>
      </c>
      <c r="C40" s="9">
        <v>25</v>
      </c>
      <c r="D40" s="11"/>
      <c r="E40" s="11"/>
      <c r="F40" s="31"/>
      <c r="G40" s="31"/>
      <c r="H40" s="21">
        <f>H32-H36</f>
        <v>25.695235328214281</v>
      </c>
      <c r="I40" s="21">
        <f>H40/H51</f>
        <v>38.2369573336522</v>
      </c>
      <c r="J40" s="32"/>
      <c r="K40" s="32"/>
      <c r="L40" s="21">
        <f>L32-L36</f>
        <v>14.835768000000002</v>
      </c>
      <c r="M40" s="21">
        <f>M32-M36</f>
        <v>21.163720399429387</v>
      </c>
      <c r="N40" s="20"/>
      <c r="O40" s="21">
        <f>O32-O36</f>
        <v>27.619337322285723</v>
      </c>
      <c r="P40" s="21">
        <f>O40/O52</f>
        <v>51.146920967195783</v>
      </c>
      <c r="Q40" s="11"/>
    </row>
    <row r="41" spans="1:17">
      <c r="A41" s="19" t="s">
        <v>54</v>
      </c>
      <c r="B41" s="10" t="s">
        <v>35</v>
      </c>
      <c r="C41" s="9">
        <v>26</v>
      </c>
      <c r="D41" s="11"/>
      <c r="E41" s="11"/>
      <c r="F41" s="31"/>
      <c r="G41" s="31"/>
      <c r="H41" s="21">
        <f>H40*15%</f>
        <v>3.8542852992321421</v>
      </c>
      <c r="I41" s="21">
        <f>H41/H51</f>
        <v>5.7355436000478299</v>
      </c>
      <c r="J41" s="32"/>
      <c r="K41" s="32"/>
      <c r="L41" s="21">
        <f>L40*15%</f>
        <v>2.2253652000000002</v>
      </c>
      <c r="M41" s="21">
        <f>L41/O51</f>
        <v>3.3115553571428573</v>
      </c>
      <c r="N41" s="20"/>
      <c r="O41" s="21">
        <f>O40*15%</f>
        <v>4.142900598342858</v>
      </c>
      <c r="P41" s="21">
        <f>P36/O51</f>
        <v>13.425589399599126</v>
      </c>
      <c r="Q41" s="11"/>
    </row>
    <row r="42" spans="1:17" hidden="1">
      <c r="A42" s="19" t="s">
        <v>76</v>
      </c>
      <c r="B42" s="10" t="s">
        <v>71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O42/3424</f>
        <v>0</v>
      </c>
      <c r="Q42" s="11"/>
    </row>
    <row r="43" spans="1:17" hidden="1">
      <c r="A43" s="19" t="s">
        <v>77</v>
      </c>
      <c r="B43" s="10" t="s">
        <v>72</v>
      </c>
      <c r="C43" s="9"/>
      <c r="D43" s="11"/>
      <c r="E43" s="11"/>
      <c r="F43" s="11"/>
      <c r="G43" s="11"/>
      <c r="H43" s="20"/>
      <c r="I43" s="21"/>
      <c r="J43" s="20"/>
      <c r="K43" s="20"/>
      <c r="L43" s="21"/>
      <c r="M43" s="21"/>
      <c r="N43" s="20"/>
      <c r="O43" s="21"/>
      <c r="P43" s="21">
        <f>P38/14</f>
        <v>0</v>
      </c>
      <c r="Q43" s="11"/>
    </row>
    <row r="44" spans="1:17" ht="30" hidden="1">
      <c r="A44" s="19" t="s">
        <v>55</v>
      </c>
      <c r="B44" s="10" t="s">
        <v>36</v>
      </c>
      <c r="C44" s="9">
        <v>27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45" hidden="1">
      <c r="A45" s="19" t="s">
        <v>56</v>
      </c>
      <c r="B45" s="10" t="s">
        <v>37</v>
      </c>
      <c r="C45" s="9">
        <v>28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30" hidden="1">
      <c r="A46" s="19" t="s">
        <v>57</v>
      </c>
      <c r="B46" s="10" t="s">
        <v>38</v>
      </c>
      <c r="C46" s="9">
        <v>29</v>
      </c>
      <c r="D46" s="11"/>
      <c r="E46" s="11"/>
      <c r="F46" s="31"/>
      <c r="G46" s="31"/>
      <c r="H46" s="20"/>
      <c r="I46" s="21"/>
      <c r="J46" s="32"/>
      <c r="K46" s="32"/>
      <c r="L46" s="21"/>
      <c r="M46" s="21"/>
      <c r="N46" s="20"/>
      <c r="O46" s="21"/>
      <c r="P46" s="21"/>
      <c r="Q46" s="11"/>
    </row>
    <row r="47" spans="1:17" ht="60">
      <c r="A47" s="19">
        <v>9</v>
      </c>
      <c r="B47" s="10" t="s">
        <v>39</v>
      </c>
      <c r="C47" s="9">
        <v>30</v>
      </c>
      <c r="D47" s="11"/>
      <c r="E47" s="11"/>
      <c r="F47" s="31"/>
      <c r="G47" s="31"/>
      <c r="H47" s="21">
        <f>H30+H32</f>
        <v>207.04837283928569</v>
      </c>
      <c r="I47" s="21">
        <f>H47/H51</f>
        <v>308.10769767750844</v>
      </c>
      <c r="J47" s="32"/>
      <c r="K47" s="32"/>
      <c r="L47" s="21">
        <f>L30+L32</f>
        <v>199.02340999999998</v>
      </c>
      <c r="M47" s="21">
        <f>L47/L51-0.01</f>
        <v>283.90356633380884</v>
      </c>
      <c r="N47" s="20"/>
      <c r="O47" s="21">
        <f>O30+O32</f>
        <v>224.39987868571433</v>
      </c>
      <c r="P47" s="21">
        <f>O47/O51</f>
        <v>333.92839090136056</v>
      </c>
      <c r="Q47" s="11"/>
    </row>
    <row r="48" spans="1:17" ht="15.75" thickBot="1">
      <c r="A48" s="19" t="s">
        <v>78</v>
      </c>
      <c r="B48" s="10" t="s">
        <v>71</v>
      </c>
      <c r="C48" s="9"/>
      <c r="D48" s="11"/>
      <c r="E48" s="11"/>
      <c r="F48" s="11"/>
      <c r="G48" s="11"/>
      <c r="H48" s="21"/>
      <c r="I48" s="21">
        <f>I30+I33</f>
        <v>287.602988095238</v>
      </c>
      <c r="J48" s="21">
        <f t="shared" ref="J48:K48" si="7">J30+J33</f>
        <v>0</v>
      </c>
      <c r="K48" s="21">
        <f t="shared" si="7"/>
        <v>0</v>
      </c>
      <c r="L48" s="18"/>
      <c r="M48" s="21">
        <f>M30+M33</f>
        <v>283.9035663338089</v>
      </c>
      <c r="N48" s="21">
        <f t="shared" ref="N48" si="8">N30+N33</f>
        <v>0</v>
      </c>
      <c r="O48" s="21"/>
      <c r="P48" s="21">
        <f>P30+P33</f>
        <v>312.18680952380959</v>
      </c>
      <c r="Q48" s="11"/>
    </row>
    <row r="49" spans="1:17">
      <c r="A49" s="19" t="s">
        <v>79</v>
      </c>
      <c r="B49" s="10" t="s">
        <v>72</v>
      </c>
      <c r="C49" s="9"/>
      <c r="D49" s="11"/>
      <c r="E49" s="11"/>
      <c r="F49" s="11"/>
      <c r="G49" s="11"/>
      <c r="H49" s="21"/>
      <c r="I49" s="21"/>
      <c r="J49" s="21">
        <f t="shared" ref="J49:K49" si="9">J30+J34</f>
        <v>0</v>
      </c>
      <c r="K49" s="21">
        <f t="shared" si="9"/>
        <v>0</v>
      </c>
      <c r="L49" s="22"/>
      <c r="M49" s="21"/>
      <c r="N49" s="21">
        <f t="shared" ref="N49" si="10">N30+N34</f>
        <v>0</v>
      </c>
      <c r="O49" s="21"/>
      <c r="P49" s="21"/>
      <c r="Q49" s="11"/>
    </row>
    <row r="50" spans="1:17">
      <c r="A50" s="19" t="s">
        <v>85</v>
      </c>
      <c r="B50" s="10" t="s">
        <v>93</v>
      </c>
      <c r="C50" s="9"/>
      <c r="D50" s="11"/>
      <c r="E50" s="11"/>
      <c r="F50" s="11"/>
      <c r="G50" s="11"/>
      <c r="H50" s="21"/>
      <c r="I50" s="21">
        <f>I30+I35</f>
        <v>389.57132023809515</v>
      </c>
      <c r="J50" s="21"/>
      <c r="K50" s="21"/>
      <c r="L50" s="21"/>
      <c r="M50" s="21"/>
      <c r="N50" s="21"/>
      <c r="O50" s="21"/>
      <c r="P50" s="21">
        <f>P30+P35+0.01</f>
        <v>422.88122380952387</v>
      </c>
      <c r="Q50" s="11"/>
    </row>
    <row r="51" spans="1:17" ht="62.25">
      <c r="A51" s="9">
        <v>10</v>
      </c>
      <c r="B51" s="10" t="s">
        <v>91</v>
      </c>
      <c r="C51" s="9">
        <v>31</v>
      </c>
      <c r="D51" s="11"/>
      <c r="E51" s="11"/>
      <c r="F51" s="31"/>
      <c r="G51" s="31"/>
      <c r="H51" s="26">
        <f>H52+H53+H54</f>
        <v>0.67200000000000004</v>
      </c>
      <c r="I51" s="21"/>
      <c r="J51" s="32"/>
      <c r="K51" s="32"/>
      <c r="L51" s="26">
        <f>L52+L53+L54</f>
        <v>0.70099999999999996</v>
      </c>
      <c r="M51" s="21"/>
      <c r="N51" s="20"/>
      <c r="O51" s="26">
        <f>O52+O53+O54</f>
        <v>0.67200000000000004</v>
      </c>
      <c r="P51" s="21"/>
      <c r="Q51" s="11"/>
    </row>
    <row r="52" spans="1:17" ht="15.75" thickBot="1">
      <c r="A52" s="19" t="s">
        <v>80</v>
      </c>
      <c r="B52" s="10" t="s">
        <v>71</v>
      </c>
      <c r="C52" s="9"/>
      <c r="D52" s="11"/>
      <c r="E52" s="11"/>
      <c r="F52" s="11"/>
      <c r="G52" s="11"/>
      <c r="H52" s="20">
        <v>0.53700000000000003</v>
      </c>
      <c r="I52" s="21"/>
      <c r="J52" s="20"/>
      <c r="K52" s="20"/>
      <c r="L52" s="18">
        <v>0.70099999999999996</v>
      </c>
      <c r="M52" s="21"/>
      <c r="N52" s="20"/>
      <c r="O52" s="26">
        <v>0.54</v>
      </c>
      <c r="P52" s="21"/>
      <c r="Q52" s="11"/>
    </row>
    <row r="53" spans="1:17">
      <c r="A53" s="19" t="s">
        <v>81</v>
      </c>
      <c r="B53" s="10" t="s">
        <v>72</v>
      </c>
      <c r="C53" s="9"/>
      <c r="D53" s="11"/>
      <c r="E53" s="11"/>
      <c r="F53" s="11"/>
      <c r="G53" s="11"/>
      <c r="H53" s="20"/>
      <c r="I53" s="21"/>
      <c r="J53" s="20"/>
      <c r="K53" s="20"/>
      <c r="L53" s="22"/>
      <c r="M53" s="21"/>
      <c r="N53" s="20"/>
      <c r="O53" s="26"/>
      <c r="P53" s="21"/>
      <c r="Q53" s="11"/>
    </row>
    <row r="54" spans="1:17">
      <c r="A54" s="19" t="s">
        <v>86</v>
      </c>
      <c r="B54" s="10" t="s">
        <v>93</v>
      </c>
      <c r="C54" s="9"/>
      <c r="D54" s="11"/>
      <c r="E54" s="11"/>
      <c r="F54" s="11"/>
      <c r="G54" s="11"/>
      <c r="H54" s="20">
        <v>0.13500000000000001</v>
      </c>
      <c r="I54" s="21"/>
      <c r="J54" s="20"/>
      <c r="K54" s="20"/>
      <c r="L54" s="20"/>
      <c r="M54" s="21"/>
      <c r="N54" s="20"/>
      <c r="O54" s="26">
        <v>0.13200000000000001</v>
      </c>
      <c r="P54" s="21"/>
      <c r="Q54" s="11"/>
    </row>
    <row r="55" spans="1:17" ht="57">
      <c r="A55" s="12">
        <v>11</v>
      </c>
      <c r="B55" s="13" t="s">
        <v>40</v>
      </c>
      <c r="C55" s="12">
        <v>32</v>
      </c>
      <c r="D55" s="14"/>
      <c r="E55" s="14"/>
      <c r="F55" s="41"/>
      <c r="G55" s="41"/>
      <c r="H55" s="16"/>
      <c r="I55" s="17"/>
      <c r="J55" s="42"/>
      <c r="K55" s="42"/>
      <c r="L55" s="17"/>
      <c r="M55" s="17"/>
      <c r="N55" s="16"/>
      <c r="O55" s="17"/>
      <c r="P55" s="17"/>
      <c r="Q55" s="11"/>
    </row>
    <row r="56" spans="1:17">
      <c r="A56" s="15" t="s">
        <v>82</v>
      </c>
      <c r="B56" s="13" t="s">
        <v>74</v>
      </c>
      <c r="C56" s="12"/>
      <c r="D56" s="14"/>
      <c r="E56" s="14"/>
      <c r="F56" s="14"/>
      <c r="G56" s="14"/>
      <c r="H56" s="17"/>
      <c r="I56" s="17">
        <f>I48</f>
        <v>287.602988095238</v>
      </c>
      <c r="J56" s="16"/>
      <c r="K56" s="16"/>
      <c r="L56" s="17"/>
      <c r="M56" s="17">
        <f>M48</f>
        <v>283.9035663338089</v>
      </c>
      <c r="N56" s="16"/>
      <c r="O56" s="17"/>
      <c r="P56" s="17">
        <f>P48</f>
        <v>312.18680952380959</v>
      </c>
      <c r="Q56" s="11"/>
    </row>
    <row r="57" spans="1:17" ht="28.5">
      <c r="A57" s="15" t="s">
        <v>83</v>
      </c>
      <c r="B57" s="13" t="s">
        <v>75</v>
      </c>
      <c r="C57" s="12"/>
      <c r="D57" s="14"/>
      <c r="E57" s="14"/>
      <c r="F57" s="14"/>
      <c r="G57" s="14"/>
      <c r="H57" s="17"/>
      <c r="I57" s="17"/>
      <c r="J57" s="16"/>
      <c r="K57" s="16"/>
      <c r="L57" s="17"/>
      <c r="M57" s="17">
        <f>M49</f>
        <v>0</v>
      </c>
      <c r="N57" s="16"/>
      <c r="O57" s="17"/>
      <c r="P57" s="17">
        <f>P49</f>
        <v>0</v>
      </c>
      <c r="Q57" s="11"/>
    </row>
    <row r="58" spans="1:17">
      <c r="A58" s="15" t="s">
        <v>87</v>
      </c>
      <c r="B58" s="13" t="s">
        <v>93</v>
      </c>
      <c r="C58" s="12"/>
      <c r="D58" s="14"/>
      <c r="E58" s="14"/>
      <c r="F58" s="14"/>
      <c r="G58" s="14"/>
      <c r="H58" s="16"/>
      <c r="I58" s="17">
        <f>I50</f>
        <v>389.57132023809515</v>
      </c>
      <c r="J58" s="16"/>
      <c r="K58" s="16"/>
      <c r="L58" s="17"/>
      <c r="M58" s="17">
        <f>M50</f>
        <v>0</v>
      </c>
      <c r="N58" s="16"/>
      <c r="O58" s="17"/>
      <c r="P58" s="17">
        <f>P50</f>
        <v>422.88122380952387</v>
      </c>
      <c r="Q58" s="11"/>
    </row>
    <row r="59" spans="1:17" ht="36" customHeight="1">
      <c r="A59" s="43" t="s">
        <v>94</v>
      </c>
      <c r="B59" s="43"/>
      <c r="C59" s="43"/>
      <c r="D59" s="43"/>
      <c r="E59" s="43"/>
      <c r="F59" s="43"/>
      <c r="G59" s="43" t="s">
        <v>42</v>
      </c>
      <c r="H59" s="43"/>
      <c r="I59" s="43"/>
      <c r="J59" s="43"/>
      <c r="K59" s="43" t="s">
        <v>84</v>
      </c>
      <c r="L59" s="43"/>
      <c r="M59" s="43"/>
      <c r="N59" s="43"/>
      <c r="O59" s="43"/>
      <c r="P59" s="43"/>
      <c r="Q59" s="43"/>
    </row>
    <row r="60" spans="1:17">
      <c r="A60" s="44" t="s">
        <v>41</v>
      </c>
      <c r="B60" s="44"/>
      <c r="C60" s="44"/>
      <c r="D60" s="44"/>
      <c r="E60" s="44"/>
      <c r="F60" s="44"/>
      <c r="G60" s="44" t="s">
        <v>43</v>
      </c>
      <c r="H60" s="44"/>
      <c r="I60" s="44"/>
      <c r="J60" s="44"/>
      <c r="K60" s="44" t="s">
        <v>44</v>
      </c>
      <c r="L60" s="44"/>
      <c r="M60" s="44"/>
      <c r="N60" s="44"/>
      <c r="O60" s="44"/>
      <c r="P60" s="44"/>
      <c r="Q60" s="44"/>
    </row>
    <row r="61" spans="1:17" ht="15.75" customHeight="1">
      <c r="A61" s="39" t="s">
        <v>45</v>
      </c>
      <c r="B61" s="39"/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>
      <c r="A63" s="3"/>
    </row>
    <row r="64" spans="1:17">
      <c r="A64" s="23"/>
      <c r="B64" s="5"/>
    </row>
    <row r="65" spans="1:17" ht="39.75" customHeight="1">
      <c r="A65" s="23" t="s">
        <v>46</v>
      </c>
      <c r="B65" s="37" t="s">
        <v>47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ht="15.75">
      <c r="A66" s="6" t="s">
        <v>48</v>
      </c>
    </row>
    <row r="67" spans="1:17" ht="15.75">
      <c r="A67" s="7" t="s">
        <v>49</v>
      </c>
    </row>
    <row r="68" spans="1:17">
      <c r="A68" s="7" t="s">
        <v>50</v>
      </c>
    </row>
    <row r="69" spans="1:17">
      <c r="A69" s="8"/>
    </row>
  </sheetData>
  <mergeCells count="83">
    <mergeCell ref="F11:G11"/>
    <mergeCell ref="J11:K11"/>
    <mergeCell ref="F12:G12"/>
    <mergeCell ref="L1:Q5"/>
    <mergeCell ref="A7:Q7"/>
    <mergeCell ref="B8:B10"/>
    <mergeCell ref="C8:C10"/>
    <mergeCell ref="D8:K8"/>
    <mergeCell ref="L8:N9"/>
    <mergeCell ref="O8:Q9"/>
    <mergeCell ref="D9:G9"/>
    <mergeCell ref="H9:K9"/>
    <mergeCell ref="F10:G10"/>
    <mergeCell ref="J10:K10"/>
    <mergeCell ref="J12:K12"/>
    <mergeCell ref="F14:G14"/>
    <mergeCell ref="J14:K14"/>
    <mergeCell ref="F15:G15"/>
    <mergeCell ref="J15:K15"/>
    <mergeCell ref="F13:G13"/>
    <mergeCell ref="J13:K13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6:G36"/>
    <mergeCell ref="J36:K36"/>
    <mergeCell ref="F40:G40"/>
    <mergeCell ref="J40:K40"/>
    <mergeCell ref="F41:G41"/>
    <mergeCell ref="J41:K41"/>
    <mergeCell ref="F44:G44"/>
    <mergeCell ref="J44:K44"/>
    <mergeCell ref="F45:G45"/>
    <mergeCell ref="J45:K45"/>
    <mergeCell ref="F46:G46"/>
    <mergeCell ref="J46:K46"/>
    <mergeCell ref="F47:G47"/>
    <mergeCell ref="J47:K47"/>
    <mergeCell ref="F51:G51"/>
    <mergeCell ref="J51:K51"/>
    <mergeCell ref="A61:F61"/>
    <mergeCell ref="G61:J61"/>
    <mergeCell ref="K61:Q61"/>
    <mergeCell ref="B65:Q65"/>
    <mergeCell ref="F55:G55"/>
    <mergeCell ref="J55:K55"/>
    <mergeCell ref="A59:F59"/>
    <mergeCell ref="G59:J59"/>
    <mergeCell ref="K59:Q59"/>
    <mergeCell ref="A60:F60"/>
    <mergeCell ref="G60:J60"/>
    <mergeCell ref="K60:Q60"/>
  </mergeCells>
  <pageMargins left="1.299212598425197" right="0.70866141732283472" top="0.55118110236220474" bottom="0.74803149606299213" header="0.31496062992125984" footer="0.31496062992125984"/>
  <pageSetup paperSize="9" scale="70" orientation="portrait" r:id="rId1"/>
  <rowBreaks count="1" manualBreakCount="1">
    <brk id="4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Q69"/>
  <sheetViews>
    <sheetView tabSelected="1" view="pageBreakPreview" topLeftCell="A25" zoomScale="82" zoomScaleSheetLayoutView="82" workbookViewId="0">
      <selection activeCell="P31" sqref="P31"/>
    </sheetView>
  </sheetViews>
  <sheetFormatPr defaultRowHeight="15"/>
  <cols>
    <col min="1" max="1" width="11.5703125" customWidth="1"/>
    <col min="2" max="2" width="22.7109375" customWidth="1"/>
    <col min="4" max="5" width="9.28515625" hidden="1" customWidth="1"/>
    <col min="6" max="7" width="0" hidden="1" customWidth="1"/>
    <col min="8" max="8" width="10.85546875" customWidth="1"/>
    <col min="9" max="9" width="12.140625" bestFit="1" customWidth="1"/>
    <col min="10" max="11" width="0" hidden="1" customWidth="1"/>
    <col min="12" max="12" width="12.140625" customWidth="1"/>
    <col min="13" max="13" width="12.140625" bestFit="1" customWidth="1"/>
    <col min="14" max="14" width="0" hidden="1" customWidth="1"/>
    <col min="15" max="15" width="11.140625" bestFit="1" customWidth="1"/>
    <col min="16" max="16" width="11.28515625" customWidth="1"/>
    <col min="17" max="17" width="0" hidden="1" customWidth="1"/>
  </cols>
  <sheetData>
    <row r="1" spans="1:17" ht="15" customHeight="1">
      <c r="L1" s="33" t="s">
        <v>51</v>
      </c>
      <c r="M1" s="33"/>
      <c r="N1" s="33"/>
      <c r="O1" s="33"/>
      <c r="P1" s="33"/>
      <c r="Q1" s="33"/>
    </row>
    <row r="2" spans="1:17">
      <c r="L2" s="33"/>
      <c r="M2" s="33"/>
      <c r="N2" s="33"/>
      <c r="O2" s="33"/>
      <c r="P2" s="33"/>
      <c r="Q2" s="33"/>
    </row>
    <row r="3" spans="1:17">
      <c r="L3" s="33"/>
      <c r="M3" s="33"/>
      <c r="N3" s="33"/>
      <c r="O3" s="33"/>
      <c r="P3" s="33"/>
      <c r="Q3" s="33"/>
    </row>
    <row r="4" spans="1:17">
      <c r="L4" s="33"/>
      <c r="M4" s="33"/>
      <c r="N4" s="33"/>
      <c r="O4" s="33"/>
      <c r="P4" s="33"/>
      <c r="Q4" s="33"/>
    </row>
    <row r="5" spans="1:17" ht="66.75" customHeight="1">
      <c r="L5" s="33"/>
      <c r="M5" s="33"/>
      <c r="N5" s="33"/>
      <c r="O5" s="33"/>
      <c r="P5" s="33"/>
      <c r="Q5" s="33"/>
    </row>
    <row r="6" spans="1:17" ht="18.75">
      <c r="A6" s="1"/>
    </row>
    <row r="7" spans="1:17" ht="51.75" customHeight="1">
      <c r="A7" s="34" t="s">
        <v>97</v>
      </c>
      <c r="B7" s="35"/>
      <c r="C7" s="35"/>
      <c r="D7" s="35"/>
      <c r="E7" s="35"/>
      <c r="F7" s="35"/>
      <c r="G7" s="35"/>
      <c r="H7" s="35"/>
      <c r="I7" s="35"/>
      <c r="J7" s="35"/>
      <c r="K7" s="36"/>
      <c r="L7" s="36"/>
      <c r="M7" s="36"/>
      <c r="N7" s="36"/>
      <c r="O7" s="36"/>
      <c r="P7" s="36"/>
      <c r="Q7" s="36"/>
    </row>
    <row r="8" spans="1:17" ht="15.75">
      <c r="A8" s="9" t="s">
        <v>0</v>
      </c>
      <c r="B8" s="30" t="s">
        <v>2</v>
      </c>
      <c r="C8" s="30" t="s">
        <v>3</v>
      </c>
      <c r="D8" s="30" t="s">
        <v>4</v>
      </c>
      <c r="E8" s="30"/>
      <c r="F8" s="30"/>
      <c r="G8" s="30"/>
      <c r="H8" s="30"/>
      <c r="I8" s="30"/>
      <c r="J8" s="30"/>
      <c r="K8" s="30"/>
      <c r="L8" s="30" t="s">
        <v>5</v>
      </c>
      <c r="M8" s="30"/>
      <c r="N8" s="30"/>
      <c r="O8" s="30" t="s">
        <v>90</v>
      </c>
      <c r="P8" s="30"/>
      <c r="Q8" s="30"/>
    </row>
    <row r="9" spans="1:17" ht="45.75" customHeight="1">
      <c r="A9" s="9" t="s">
        <v>1</v>
      </c>
      <c r="B9" s="30"/>
      <c r="C9" s="30"/>
      <c r="D9" s="30" t="s">
        <v>6</v>
      </c>
      <c r="E9" s="30"/>
      <c r="F9" s="30"/>
      <c r="G9" s="30"/>
      <c r="H9" s="30" t="s">
        <v>89</v>
      </c>
      <c r="I9" s="30"/>
      <c r="J9" s="30"/>
      <c r="K9" s="30"/>
      <c r="L9" s="30"/>
      <c r="M9" s="30"/>
      <c r="N9" s="30"/>
      <c r="O9" s="30"/>
      <c r="P9" s="30"/>
      <c r="Q9" s="30"/>
    </row>
    <row r="10" spans="1:17" ht="25.5">
      <c r="A10" s="24"/>
      <c r="B10" s="30"/>
      <c r="C10" s="30"/>
      <c r="D10" s="9" t="s">
        <v>7</v>
      </c>
      <c r="E10" s="9" t="s">
        <v>8</v>
      </c>
      <c r="F10" s="30" t="s">
        <v>9</v>
      </c>
      <c r="G10" s="30"/>
      <c r="H10" s="9" t="s">
        <v>7</v>
      </c>
      <c r="I10" s="9" t="s">
        <v>8</v>
      </c>
      <c r="J10" s="30" t="s">
        <v>9</v>
      </c>
      <c r="K10" s="30"/>
      <c r="L10" s="9" t="s">
        <v>7</v>
      </c>
      <c r="M10" s="9" t="s">
        <v>8</v>
      </c>
      <c r="N10" s="9" t="s">
        <v>9</v>
      </c>
      <c r="O10" s="9" t="s">
        <v>7</v>
      </c>
      <c r="P10" s="9" t="s">
        <v>8</v>
      </c>
      <c r="Q10" s="9" t="s">
        <v>9</v>
      </c>
    </row>
    <row r="11" spans="1:17">
      <c r="A11" s="9" t="s">
        <v>10</v>
      </c>
      <c r="B11" s="9" t="s">
        <v>11</v>
      </c>
      <c r="C11" s="9" t="s">
        <v>12</v>
      </c>
      <c r="D11" s="9">
        <v>1</v>
      </c>
      <c r="E11" s="9">
        <v>2</v>
      </c>
      <c r="F11" s="30">
        <v>3</v>
      </c>
      <c r="G11" s="30"/>
      <c r="H11" s="9">
        <v>1</v>
      </c>
      <c r="I11" s="9">
        <v>2</v>
      </c>
      <c r="J11" s="30">
        <v>6</v>
      </c>
      <c r="K11" s="30"/>
      <c r="L11" s="27">
        <v>3</v>
      </c>
      <c r="M11" s="9">
        <v>4</v>
      </c>
      <c r="N11" s="9">
        <v>9</v>
      </c>
      <c r="O11" s="9">
        <v>5</v>
      </c>
      <c r="P11" s="9">
        <v>6</v>
      </c>
      <c r="Q11" s="9">
        <v>12</v>
      </c>
    </row>
    <row r="12" spans="1:17" ht="45">
      <c r="A12" s="9">
        <v>1</v>
      </c>
      <c r="B12" s="10" t="s">
        <v>13</v>
      </c>
      <c r="C12" s="9">
        <v>1</v>
      </c>
      <c r="D12" s="11"/>
      <c r="E12" s="11"/>
      <c r="F12" s="31"/>
      <c r="G12" s="31"/>
      <c r="H12" s="21">
        <f>H13+H20+H21+H25</f>
        <v>1637.53368</v>
      </c>
      <c r="I12" s="21">
        <f>I13+I20+I21+I25-0.02</f>
        <v>25.24005645795733</v>
      </c>
      <c r="J12" s="32"/>
      <c r="K12" s="32"/>
      <c r="L12" s="21">
        <f>L13+L20+L21+L25</f>
        <v>1755.3190000000002</v>
      </c>
      <c r="M12" s="21">
        <f>M13+M20+M21+M25-0.14</f>
        <v>31.218421466342718</v>
      </c>
      <c r="N12" s="20"/>
      <c r="O12" s="21">
        <f>O13+O20+O21+O25</f>
        <v>1841.7214300000001</v>
      </c>
      <c r="P12" s="21">
        <f>P13+P20+P21+P25</f>
        <v>31.681562516116834</v>
      </c>
      <c r="Q12" s="11"/>
    </row>
    <row r="13" spans="1:17" ht="30">
      <c r="A13" s="19" t="s">
        <v>58</v>
      </c>
      <c r="B13" s="10" t="s">
        <v>14</v>
      </c>
      <c r="C13" s="9">
        <v>2</v>
      </c>
      <c r="D13" s="11"/>
      <c r="E13" s="11"/>
      <c r="F13" s="31"/>
      <c r="G13" s="31"/>
      <c r="H13" s="21">
        <f>SUM(H14:H19)</f>
        <v>326.95550000000003</v>
      </c>
      <c r="I13" s="21">
        <f>I14+I15+I19</f>
        <v>5.0435081061903215</v>
      </c>
      <c r="J13" s="32"/>
      <c r="K13" s="32"/>
      <c r="L13" s="21">
        <f>SUM(L14:L19)</f>
        <v>448.78501</v>
      </c>
      <c r="M13" s="21">
        <f>SUM(M14:M19)</f>
        <v>8.0174540874660565</v>
      </c>
      <c r="N13" s="20"/>
      <c r="O13" s="21">
        <f>SUM(O14:O19)</f>
        <v>265.01843000000002</v>
      </c>
      <c r="P13" s="21">
        <f>SUM(P14:P19)</f>
        <v>4.5560080111399541</v>
      </c>
      <c r="Q13" s="11"/>
    </row>
    <row r="14" spans="1:17" ht="30">
      <c r="A14" s="19" t="s">
        <v>62</v>
      </c>
      <c r="B14" s="10" t="s">
        <v>15</v>
      </c>
      <c r="C14" s="9">
        <v>3</v>
      </c>
      <c r="D14" s="11"/>
      <c r="E14" s="11"/>
      <c r="F14" s="31"/>
      <c r="G14" s="31"/>
      <c r="H14" s="21">
        <v>85.971869999999996</v>
      </c>
      <c r="I14" s="21">
        <f>H14/$H$51</f>
        <v>1.3261738164653616</v>
      </c>
      <c r="J14" s="32"/>
      <c r="K14" s="32"/>
      <c r="L14" s="21">
        <f>130.83266</f>
        <v>130.83266</v>
      </c>
      <c r="M14" s="21">
        <f>L14/$L$51</f>
        <v>2.3372991996569961</v>
      </c>
      <c r="N14" s="20"/>
      <c r="O14" s="21">
        <v>160.80766</v>
      </c>
      <c r="P14" s="21">
        <f>O14/$O$51</f>
        <v>2.7644907081091303</v>
      </c>
      <c r="Q14" s="11"/>
    </row>
    <row r="15" spans="1:17" ht="29.25" customHeight="1">
      <c r="A15" s="19" t="s">
        <v>63</v>
      </c>
      <c r="B15" s="10" t="s">
        <v>70</v>
      </c>
      <c r="C15" s="9">
        <v>4</v>
      </c>
      <c r="D15" s="11"/>
      <c r="E15" s="11"/>
      <c r="F15" s="31"/>
      <c r="G15" s="31"/>
      <c r="H15" s="21">
        <v>223.37209999999999</v>
      </c>
      <c r="I15" s="21">
        <f>H15/$H$51</f>
        <v>3.4456646150523702</v>
      </c>
      <c r="J15" s="32"/>
      <c r="K15" s="32"/>
      <c r="L15" s="21">
        <v>304.14</v>
      </c>
      <c r="M15" s="21">
        <f t="shared" ref="M15:M19" si="0">L15/$L$51</f>
        <v>5.4334000285836783</v>
      </c>
      <c r="N15" s="20"/>
      <c r="O15" s="21">
        <v>90.9</v>
      </c>
      <c r="P15" s="21">
        <f t="shared" ref="P15:P19" si="1">O15/$O$51</f>
        <v>1.5626880297065449</v>
      </c>
      <c r="Q15" s="11"/>
    </row>
    <row r="16" spans="1:17" ht="30" hidden="1">
      <c r="A16" s="19" t="s">
        <v>64</v>
      </c>
      <c r="B16" s="10" t="s">
        <v>16</v>
      </c>
      <c r="C16" s="9">
        <v>5</v>
      </c>
      <c r="D16" s="11"/>
      <c r="E16" s="11"/>
      <c r="F16" s="31"/>
      <c r="G16" s="31"/>
      <c r="H16" s="20"/>
      <c r="I16" s="21">
        <f t="shared" ref="I16:I18" si="2">H16/$H$51</f>
        <v>0</v>
      </c>
      <c r="J16" s="32"/>
      <c r="K16" s="32"/>
      <c r="L16" s="21"/>
      <c r="M16" s="21">
        <f t="shared" si="0"/>
        <v>0</v>
      </c>
      <c r="N16" s="20"/>
      <c r="O16" s="21"/>
      <c r="P16" s="21">
        <f t="shared" si="1"/>
        <v>0</v>
      </c>
      <c r="Q16" s="11"/>
    </row>
    <row r="17" spans="1:17" ht="20.25" hidden="1" customHeight="1" thickBot="1">
      <c r="A17" s="19" t="s">
        <v>65</v>
      </c>
      <c r="B17" s="10" t="s">
        <v>17</v>
      </c>
      <c r="C17" s="9">
        <v>6</v>
      </c>
      <c r="D17" s="11"/>
      <c r="E17" s="11"/>
      <c r="F17" s="31"/>
      <c r="G17" s="31"/>
      <c r="H17" s="20"/>
      <c r="I17" s="21">
        <f t="shared" si="2"/>
        <v>0</v>
      </c>
      <c r="J17" s="32"/>
      <c r="K17" s="32"/>
      <c r="L17" s="21"/>
      <c r="M17" s="21">
        <f t="shared" si="0"/>
        <v>0</v>
      </c>
      <c r="N17" s="20"/>
      <c r="O17" s="21"/>
      <c r="P17" s="21">
        <f t="shared" si="1"/>
        <v>0</v>
      </c>
      <c r="Q17" s="11"/>
    </row>
    <row r="18" spans="1:17" ht="75" hidden="1">
      <c r="A18" s="19" t="s">
        <v>66</v>
      </c>
      <c r="B18" s="10" t="s">
        <v>18</v>
      </c>
      <c r="C18" s="9">
        <v>7</v>
      </c>
      <c r="D18" s="11"/>
      <c r="E18" s="11"/>
      <c r="F18" s="31"/>
      <c r="G18" s="31"/>
      <c r="H18" s="20"/>
      <c r="I18" s="21">
        <f t="shared" si="2"/>
        <v>0</v>
      </c>
      <c r="J18" s="32"/>
      <c r="K18" s="32"/>
      <c r="L18" s="21"/>
      <c r="M18" s="21">
        <f t="shared" si="0"/>
        <v>0</v>
      </c>
      <c r="N18" s="20"/>
      <c r="O18" s="21"/>
      <c r="P18" s="21">
        <f t="shared" si="1"/>
        <v>0</v>
      </c>
      <c r="Q18" s="11"/>
    </row>
    <row r="19" spans="1:17" ht="30">
      <c r="A19" s="19" t="s">
        <v>65</v>
      </c>
      <c r="B19" s="10" t="s">
        <v>19</v>
      </c>
      <c r="C19" s="9">
        <v>8</v>
      </c>
      <c r="D19" s="11"/>
      <c r="E19" s="11"/>
      <c r="F19" s="31"/>
      <c r="G19" s="31"/>
      <c r="H19" s="21">
        <f>12.2844+5.32379+0.00334</f>
        <v>17.611530000000002</v>
      </c>
      <c r="I19" s="21">
        <f>H19/$H$51</f>
        <v>0.27166967467259018</v>
      </c>
      <c r="J19" s="32"/>
      <c r="K19" s="32"/>
      <c r="L19" s="21">
        <f>7.607+6.20535</f>
        <v>13.81235</v>
      </c>
      <c r="M19" s="21">
        <f t="shared" si="0"/>
        <v>0.24675485922538232</v>
      </c>
      <c r="N19" s="20"/>
      <c r="O19" s="21">
        <f>7.993+5.31777</f>
        <v>13.310770000000002</v>
      </c>
      <c r="P19" s="21">
        <f t="shared" si="1"/>
        <v>0.2288292733242793</v>
      </c>
      <c r="Q19" s="11"/>
    </row>
    <row r="20" spans="1:17" ht="30">
      <c r="A20" s="19" t="s">
        <v>59</v>
      </c>
      <c r="B20" s="10" t="s">
        <v>20</v>
      </c>
      <c r="C20" s="9">
        <v>9</v>
      </c>
      <c r="D20" s="11"/>
      <c r="E20" s="11"/>
      <c r="F20" s="31"/>
      <c r="G20" s="31"/>
      <c r="H20" s="21">
        <v>428.67899999999997</v>
      </c>
      <c r="I20" s="21">
        <f>H20/H51</f>
        <v>6.6126613910870464</v>
      </c>
      <c r="J20" s="32"/>
      <c r="K20" s="32"/>
      <c r="L20" s="21">
        <v>393.88679999999999</v>
      </c>
      <c r="M20" s="21">
        <f>L20/L51</f>
        <v>7.0367085893954551</v>
      </c>
      <c r="N20" s="20"/>
      <c r="O20" s="21">
        <v>508.64699999999999</v>
      </c>
      <c r="P20" s="21">
        <f>O20/O51</f>
        <v>8.7442967903866329</v>
      </c>
      <c r="Q20" s="11"/>
    </row>
    <row r="21" spans="1:17" ht="30">
      <c r="A21" s="19" t="s">
        <v>60</v>
      </c>
      <c r="B21" s="10" t="s">
        <v>21</v>
      </c>
      <c r="C21" s="9">
        <v>10</v>
      </c>
      <c r="D21" s="11"/>
      <c r="E21" s="11"/>
      <c r="F21" s="31"/>
      <c r="G21" s="31"/>
      <c r="H21" s="21">
        <f>H22+H23+H24</f>
        <v>821.70187999999996</v>
      </c>
      <c r="I21" s="21">
        <f>I22+I23+I24</f>
        <v>12.675303191571412</v>
      </c>
      <c r="J21" s="32"/>
      <c r="K21" s="32"/>
      <c r="L21" s="21">
        <f>SUM(L22:L24)</f>
        <v>805.08768000000009</v>
      </c>
      <c r="M21" s="21">
        <f>SUM(M22:M24)</f>
        <v>14.382729741317709</v>
      </c>
      <c r="N21" s="20"/>
      <c r="O21" s="21">
        <f>SUM(O22:O24)</f>
        <v>934.99400000000003</v>
      </c>
      <c r="P21" s="21">
        <f>SUM(P22:P24)</f>
        <v>16.073750623184171</v>
      </c>
      <c r="Q21" s="11"/>
    </row>
    <row r="22" spans="1:17" ht="75">
      <c r="A22" s="19" t="s">
        <v>67</v>
      </c>
      <c r="B22" s="10" t="s">
        <v>22</v>
      </c>
      <c r="C22" s="9">
        <v>11</v>
      </c>
      <c r="D22" s="11"/>
      <c r="E22" s="11"/>
      <c r="F22" s="31"/>
      <c r="G22" s="31"/>
      <c r="H22" s="21">
        <v>76.671000000000006</v>
      </c>
      <c r="I22" s="21">
        <f>H22/$H$51</f>
        <v>1.1827016520894074</v>
      </c>
      <c r="J22" s="32"/>
      <c r="K22" s="32"/>
      <c r="L22" s="21">
        <v>86.655000000000001</v>
      </c>
      <c r="M22" s="21">
        <f>L22/L51</f>
        <v>1.5480741746462769</v>
      </c>
      <c r="N22" s="20"/>
      <c r="O22" s="21">
        <v>111.902</v>
      </c>
      <c r="P22" s="21">
        <f>O22/$O$51</f>
        <v>1.9237394488473243</v>
      </c>
      <c r="Q22" s="11"/>
    </row>
    <row r="23" spans="1:17" ht="90">
      <c r="A23" s="19" t="s">
        <v>68</v>
      </c>
      <c r="B23" s="10" t="s">
        <v>23</v>
      </c>
      <c r="C23" s="9">
        <v>12</v>
      </c>
      <c r="D23" s="11"/>
      <c r="E23" s="11"/>
      <c r="F23" s="31"/>
      <c r="G23" s="31"/>
      <c r="H23" s="21">
        <v>59.024999999999999</v>
      </c>
      <c r="I23" s="21">
        <f t="shared" ref="I23:I26" si="3">H23/$H$51</f>
        <v>0.91050025452357819</v>
      </c>
      <c r="J23" s="32"/>
      <c r="K23" s="32"/>
      <c r="L23" s="21">
        <v>86.775999999999996</v>
      </c>
      <c r="M23" s="21">
        <f>L23/L51</f>
        <v>1.5502358153494353</v>
      </c>
      <c r="N23" s="20"/>
      <c r="O23" s="21">
        <v>71.188000000000002</v>
      </c>
      <c r="P23" s="21">
        <f>O23/O51</f>
        <v>1.223813371383383</v>
      </c>
      <c r="Q23" s="11"/>
    </row>
    <row r="24" spans="1:17">
      <c r="A24" s="19" t="s">
        <v>69</v>
      </c>
      <c r="B24" s="10" t="s">
        <v>24</v>
      </c>
      <c r="C24" s="9">
        <v>15</v>
      </c>
      <c r="D24" s="11"/>
      <c r="E24" s="11"/>
      <c r="F24" s="31"/>
      <c r="G24" s="31"/>
      <c r="H24" s="21">
        <f>1.08488+50.4+2.7+13.24+579.016+39.565</f>
        <v>686.00587999999993</v>
      </c>
      <c r="I24" s="21">
        <f t="shared" si="3"/>
        <v>10.582101284958426</v>
      </c>
      <c r="J24" s="32"/>
      <c r="K24" s="32"/>
      <c r="L24" s="21">
        <f>9.68268+621.974</f>
        <v>631.65668000000005</v>
      </c>
      <c r="M24" s="21">
        <f>L24/L51</f>
        <v>11.284419751321996</v>
      </c>
      <c r="N24" s="20"/>
      <c r="O24" s="21">
        <f>5.4+205.351+541.153</f>
        <v>751.904</v>
      </c>
      <c r="P24" s="21">
        <f>O24/O51</f>
        <v>12.926197802953464</v>
      </c>
      <c r="Q24" s="11"/>
    </row>
    <row r="25" spans="1:17" ht="30">
      <c r="A25" s="19" t="s">
        <v>61</v>
      </c>
      <c r="B25" s="10" t="s">
        <v>25</v>
      </c>
      <c r="C25" s="9">
        <v>16</v>
      </c>
      <c r="D25" s="11"/>
      <c r="E25" s="11"/>
      <c r="F25" s="31"/>
      <c r="G25" s="31"/>
      <c r="H25" s="21">
        <v>60.197299999999998</v>
      </c>
      <c r="I25" s="21">
        <f>H25/$H$51</f>
        <v>0.92858376910855045</v>
      </c>
      <c r="J25" s="32"/>
      <c r="K25" s="32"/>
      <c r="L25" s="21">
        <v>107.55951</v>
      </c>
      <c r="M25" s="21">
        <f>L25/L51</f>
        <v>1.9215290481634988</v>
      </c>
      <c r="N25" s="20"/>
      <c r="O25" s="21">
        <v>133.06200000000001</v>
      </c>
      <c r="P25" s="21">
        <f>O25/O51+0.02</f>
        <v>2.3075070914060758</v>
      </c>
      <c r="Q25" s="11"/>
    </row>
    <row r="26" spans="1:17" ht="30">
      <c r="A26" s="9">
        <v>2</v>
      </c>
      <c r="B26" s="10" t="s">
        <v>26</v>
      </c>
      <c r="C26" s="9">
        <v>17</v>
      </c>
      <c r="D26" s="11"/>
      <c r="E26" s="11"/>
      <c r="F26" s="31"/>
      <c r="G26" s="31"/>
      <c r="H26" s="21">
        <v>257.11799999999999</v>
      </c>
      <c r="I26" s="21">
        <f t="shared" si="3"/>
        <v>3.9662177796288582</v>
      </c>
      <c r="J26" s="32"/>
      <c r="K26" s="32"/>
      <c r="L26" s="21">
        <v>305.44</v>
      </c>
      <c r="M26" s="21">
        <f>L26/L51</f>
        <v>5.4566242675432326</v>
      </c>
      <c r="N26" s="20"/>
      <c r="O26" s="21">
        <v>344.37700000000001</v>
      </c>
      <c r="P26" s="21">
        <f>O26/O51</f>
        <v>5.920284000068766</v>
      </c>
      <c r="Q26" s="11"/>
    </row>
    <row r="27" spans="1:17">
      <c r="A27" s="9">
        <v>3</v>
      </c>
      <c r="B27" s="10" t="s">
        <v>27</v>
      </c>
      <c r="C27" s="9">
        <v>18</v>
      </c>
      <c r="D27" s="11"/>
      <c r="E27" s="11"/>
      <c r="F27" s="31"/>
      <c r="G27" s="31"/>
      <c r="H27" s="21"/>
      <c r="I27" s="21">
        <f>H27/H51</f>
        <v>0</v>
      </c>
      <c r="J27" s="32"/>
      <c r="K27" s="32"/>
      <c r="L27" s="21"/>
      <c r="M27" s="21">
        <f>L27/L51</f>
        <v>0</v>
      </c>
      <c r="N27" s="20"/>
      <c r="O27" s="21">
        <v>20.214659999999999</v>
      </c>
      <c r="P27" s="21">
        <f>O27/O51</f>
        <v>0.34751603087555227</v>
      </c>
      <c r="Q27" s="11"/>
    </row>
    <row r="28" spans="1:17">
      <c r="A28" s="9">
        <v>4</v>
      </c>
      <c r="B28" s="10" t="s">
        <v>28</v>
      </c>
      <c r="C28" s="9">
        <v>19</v>
      </c>
      <c r="D28" s="11"/>
      <c r="E28" s="11"/>
      <c r="F28" s="31"/>
      <c r="G28" s="31"/>
      <c r="H28" s="20"/>
      <c r="I28" s="21"/>
      <c r="J28" s="32"/>
      <c r="K28" s="32"/>
      <c r="L28" s="21"/>
      <c r="M28" s="21"/>
      <c r="N28" s="20"/>
      <c r="O28" s="21"/>
      <c r="P28" s="21"/>
      <c r="Q28" s="11"/>
    </row>
    <row r="29" spans="1:17">
      <c r="A29" s="9">
        <v>5</v>
      </c>
      <c r="B29" s="10" t="s">
        <v>29</v>
      </c>
      <c r="C29" s="9">
        <v>20</v>
      </c>
      <c r="D29" s="11"/>
      <c r="E29" s="11"/>
      <c r="F29" s="31"/>
      <c r="G29" s="31"/>
      <c r="H29" s="20"/>
      <c r="I29" s="21"/>
      <c r="J29" s="32"/>
      <c r="K29" s="32"/>
      <c r="L29" s="21"/>
      <c r="M29" s="21"/>
      <c r="N29" s="20"/>
      <c r="O29" s="21"/>
      <c r="P29" s="21"/>
      <c r="Q29" s="11"/>
    </row>
    <row r="30" spans="1:17" ht="30">
      <c r="A30" s="9">
        <v>6</v>
      </c>
      <c r="B30" s="10" t="s">
        <v>30</v>
      </c>
      <c r="C30" s="9">
        <v>21</v>
      </c>
      <c r="D30" s="11"/>
      <c r="E30" s="11"/>
      <c r="F30" s="31"/>
      <c r="G30" s="31"/>
      <c r="H30" s="21">
        <f>H12+H26+H27+H28+H29</f>
        <v>1894.6516799999999</v>
      </c>
      <c r="I30" s="21">
        <f>I27+I26+I12</f>
        <v>29.206274237586189</v>
      </c>
      <c r="J30" s="32"/>
      <c r="K30" s="32"/>
      <c r="L30" s="21">
        <f>L12+L26+L27+L28+L29</f>
        <v>2060.759</v>
      </c>
      <c r="M30" s="21">
        <f>M12+M26+M27+M28+M29</f>
        <v>36.675045733885952</v>
      </c>
      <c r="N30" s="20"/>
      <c r="O30" s="21">
        <f>O12+O26+O27+O28+O29</f>
        <v>2206.3130900000001</v>
      </c>
      <c r="P30" s="21">
        <f>P12+P26+P27+P28+P29</f>
        <v>37.949362547061156</v>
      </c>
      <c r="Q30" s="11"/>
    </row>
    <row r="31" spans="1:17" ht="30">
      <c r="A31" s="9">
        <v>7</v>
      </c>
      <c r="B31" s="10" t="s">
        <v>31</v>
      </c>
      <c r="C31" s="9">
        <v>22</v>
      </c>
      <c r="D31" s="11"/>
      <c r="E31" s="11"/>
      <c r="F31" s="31"/>
      <c r="G31" s="31"/>
      <c r="H31" s="20"/>
      <c r="I31" s="21"/>
      <c r="J31" s="32"/>
      <c r="K31" s="32"/>
      <c r="L31" s="21"/>
      <c r="M31" s="21"/>
      <c r="N31" s="20"/>
      <c r="O31" s="21"/>
      <c r="P31" s="21"/>
      <c r="Q31" s="11"/>
    </row>
    <row r="32" spans="1:17">
      <c r="A32" s="9">
        <v>8</v>
      </c>
      <c r="B32" s="10" t="s">
        <v>32</v>
      </c>
      <c r="C32" s="9">
        <v>23</v>
      </c>
      <c r="D32" s="11"/>
      <c r="E32" s="11"/>
      <c r="F32" s="31"/>
      <c r="G32" s="31"/>
      <c r="H32" s="21">
        <f>H33+H34+H35</f>
        <v>607.8295889856912</v>
      </c>
      <c r="I32" s="21">
        <f>I33+I34+I35</f>
        <v>21.32058019343792</v>
      </c>
      <c r="J32" s="32"/>
      <c r="K32" s="32"/>
      <c r="L32" s="21">
        <f>SUM(L33:L35)</f>
        <v>607.04609048819498</v>
      </c>
      <c r="M32" s="21">
        <f>M33+M34+M35</f>
        <v>26.772783385736744</v>
      </c>
      <c r="N32" s="20"/>
      <c r="O32" s="21">
        <f>O33+O34+O35</f>
        <v>596.40573039798005</v>
      </c>
      <c r="P32" s="21">
        <f>P33+P34+P35</f>
        <v>27.693034659354645</v>
      </c>
      <c r="Q32" s="11"/>
    </row>
    <row r="33" spans="1:17">
      <c r="A33" s="9"/>
      <c r="B33" s="10" t="s">
        <v>71</v>
      </c>
      <c r="C33" s="9"/>
      <c r="D33" s="11"/>
      <c r="E33" s="11"/>
      <c r="F33" s="11"/>
      <c r="G33" s="11"/>
      <c r="H33" s="21">
        <f>I30*H52*10%</f>
        <v>78.354592524596228</v>
      </c>
      <c r="I33" s="21">
        <f>H33/H52</f>
        <v>2.9206274237586189</v>
      </c>
      <c r="J33" s="20"/>
      <c r="K33" s="20"/>
      <c r="L33" s="21">
        <f>M30*L52*10%</f>
        <v>89.626476764470496</v>
      </c>
      <c r="M33" s="21">
        <f>L33/L52</f>
        <v>3.6675045733885958</v>
      </c>
      <c r="N33" s="20"/>
      <c r="O33" s="21">
        <f>P30*O52*10%</f>
        <v>120.8763095848992</v>
      </c>
      <c r="P33" s="21">
        <f>O33/O52</f>
        <v>3.7949362547061161</v>
      </c>
      <c r="Q33" s="11"/>
    </row>
    <row r="34" spans="1:17">
      <c r="A34" s="9"/>
      <c r="B34" s="10" t="s">
        <v>72</v>
      </c>
      <c r="C34" s="9"/>
      <c r="D34" s="11"/>
      <c r="E34" s="11"/>
      <c r="F34" s="11"/>
      <c r="G34" s="11"/>
      <c r="H34" s="21">
        <f>I30*H53*14%</f>
        <v>5.7326075073534177</v>
      </c>
      <c r="I34" s="21">
        <f>H34/H53</f>
        <v>4.0888783932620667</v>
      </c>
      <c r="J34" s="20"/>
      <c r="K34" s="20"/>
      <c r="L34" s="21">
        <f>M30*L53*14%</f>
        <v>19.737042612148066</v>
      </c>
      <c r="M34" s="21">
        <f>L34/L53</f>
        <v>5.1345064027440337</v>
      </c>
      <c r="N34" s="20"/>
      <c r="O34" s="21">
        <f>P30*O53*14%</f>
        <v>5.5360530083652817</v>
      </c>
      <c r="P34" s="21">
        <f>O34/O53</f>
        <v>5.312910756588562</v>
      </c>
      <c r="Q34" s="11"/>
    </row>
    <row r="35" spans="1:17" ht="16.5" customHeight="1">
      <c r="A35" s="25"/>
      <c r="B35" s="10" t="s">
        <v>93</v>
      </c>
      <c r="C35" s="9"/>
      <c r="D35" s="11"/>
      <c r="E35" s="11"/>
      <c r="F35" s="11"/>
      <c r="G35" s="11"/>
      <c r="H35" s="21">
        <f>I30*H54*49%</f>
        <v>523.74238895374151</v>
      </c>
      <c r="I35" s="21">
        <f>H35/H54</f>
        <v>14.311074376417233</v>
      </c>
      <c r="J35" s="20"/>
      <c r="K35" s="20"/>
      <c r="L35" s="21">
        <f>M30*L54*49%</f>
        <v>497.68257111157641</v>
      </c>
      <c r="M35" s="21">
        <f>L35/L54</f>
        <v>17.970772409604116</v>
      </c>
      <c r="N35" s="20"/>
      <c r="O35" s="21">
        <f>P30*O54*49%</f>
        <v>469.9933678047156</v>
      </c>
      <c r="P35" s="21">
        <f>O35/O54-0.01</f>
        <v>18.585187648059964</v>
      </c>
      <c r="Q35" s="11"/>
    </row>
    <row r="36" spans="1:17">
      <c r="A36" s="19" t="s">
        <v>52</v>
      </c>
      <c r="B36" s="10" t="s">
        <v>33</v>
      </c>
      <c r="C36" s="9">
        <v>24</v>
      </c>
      <c r="D36" s="11"/>
      <c r="E36" s="11"/>
      <c r="F36" s="31"/>
      <c r="G36" s="31"/>
      <c r="H36" s="21">
        <f>H37+H38+H39</f>
        <v>109.40932601742441</v>
      </c>
      <c r="I36" s="21">
        <f>H36/H51</f>
        <v>1.6877123114971293</v>
      </c>
      <c r="J36" s="32"/>
      <c r="K36" s="32"/>
      <c r="L36" s="21">
        <f>L37+L38+L39</f>
        <v>109.26829628787509</v>
      </c>
      <c r="M36" s="21">
        <f>M37+M38+M39</f>
        <v>4.8191010094326145</v>
      </c>
      <c r="N36" s="20"/>
      <c r="O36" s="21">
        <f>O37+O38+O39</f>
        <v>107.3530314716364</v>
      </c>
      <c r="P36" s="21">
        <f>P37+P38+P39</f>
        <v>4.9865462386838351</v>
      </c>
      <c r="Q36" s="11"/>
    </row>
    <row r="37" spans="1:17">
      <c r="A37" s="19"/>
      <c r="B37" s="10" t="s">
        <v>71</v>
      </c>
      <c r="C37" s="9"/>
      <c r="D37" s="11"/>
      <c r="E37" s="11"/>
      <c r="F37" s="11"/>
      <c r="G37" s="11"/>
      <c r="H37" s="21">
        <f>H33*18%</f>
        <v>14.103826654427321</v>
      </c>
      <c r="I37" s="21">
        <f>H37/H52</f>
        <v>0.52571293627655136</v>
      </c>
      <c r="J37" s="20"/>
      <c r="K37" s="20"/>
      <c r="L37" s="21">
        <f>L33*18%</f>
        <v>16.132765817604689</v>
      </c>
      <c r="M37" s="21">
        <f>L37/L52</f>
        <v>0.66015082320994722</v>
      </c>
      <c r="N37" s="20"/>
      <c r="O37" s="21">
        <f>O33*18%</f>
        <v>21.757735725281854</v>
      </c>
      <c r="P37" s="21">
        <f>O37/O52</f>
        <v>0.68308852584710078</v>
      </c>
      <c r="Q37" s="11"/>
    </row>
    <row r="38" spans="1:17">
      <c r="A38" s="19"/>
      <c r="B38" s="10" t="s">
        <v>72</v>
      </c>
      <c r="C38" s="9"/>
      <c r="D38" s="11"/>
      <c r="E38" s="11"/>
      <c r="F38" s="11"/>
      <c r="G38" s="11"/>
      <c r="H38" s="21">
        <f t="shared" ref="H38:H39" si="4">H34*18%</f>
        <v>1.0318693513236152</v>
      </c>
      <c r="I38" s="21">
        <f t="shared" ref="I38:I39" si="5">H38/H53</f>
        <v>0.73599811078717214</v>
      </c>
      <c r="J38" s="20"/>
      <c r="K38" s="20"/>
      <c r="L38" s="21">
        <f t="shared" ref="L38:L39" si="6">L34*18%</f>
        <v>3.552667670186652</v>
      </c>
      <c r="M38" s="21">
        <f t="shared" ref="M38:M39" si="7">L38/L53</f>
        <v>0.92421115249392616</v>
      </c>
      <c r="N38" s="20"/>
      <c r="O38" s="21">
        <f>O34*18%</f>
        <v>0.99648954150575064</v>
      </c>
      <c r="P38" s="21">
        <f>O38/O53</f>
        <v>0.95632393618594103</v>
      </c>
      <c r="Q38" s="11"/>
    </row>
    <row r="39" spans="1:17">
      <c r="A39" s="19"/>
      <c r="B39" s="10" t="s">
        <v>93</v>
      </c>
      <c r="C39" s="9"/>
      <c r="D39" s="11"/>
      <c r="E39" s="11"/>
      <c r="F39" s="11"/>
      <c r="G39" s="11"/>
      <c r="H39" s="21">
        <f t="shared" si="4"/>
        <v>94.273630011673475</v>
      </c>
      <c r="I39" s="21">
        <f t="shared" si="5"/>
        <v>2.5759933877551022</v>
      </c>
      <c r="J39" s="20"/>
      <c r="K39" s="20"/>
      <c r="L39" s="21">
        <f t="shared" si="6"/>
        <v>89.582862800083745</v>
      </c>
      <c r="M39" s="21">
        <f t="shared" si="7"/>
        <v>3.2347390337287409</v>
      </c>
      <c r="N39" s="20"/>
      <c r="O39" s="21">
        <f>O35*18%</f>
        <v>84.598806204848799</v>
      </c>
      <c r="P39" s="21">
        <f>O39/O54</f>
        <v>3.3471337766507934</v>
      </c>
      <c r="Q39" s="11"/>
    </row>
    <row r="40" spans="1:17" ht="30">
      <c r="A40" s="19" t="s">
        <v>53</v>
      </c>
      <c r="B40" s="10" t="s">
        <v>34</v>
      </c>
      <c r="C40" s="9">
        <v>25</v>
      </c>
      <c r="D40" s="11"/>
      <c r="E40" s="11"/>
      <c r="F40" s="31"/>
      <c r="G40" s="31"/>
      <c r="H40" s="21">
        <f>H32-H36</f>
        <v>498.4202629682668</v>
      </c>
      <c r="I40" s="21">
        <f>H40/H51</f>
        <v>7.6884671968202571</v>
      </c>
      <c r="J40" s="32"/>
      <c r="K40" s="32"/>
      <c r="L40" s="21">
        <f>L32-L36</f>
        <v>497.77779420031987</v>
      </c>
      <c r="M40" s="21">
        <f>M32-M36</f>
        <v>21.95368237630413</v>
      </c>
      <c r="N40" s="20"/>
      <c r="O40" s="21">
        <f>O32-O36</f>
        <v>489.05269892634362</v>
      </c>
      <c r="P40" s="21">
        <f>O40/O52</f>
        <v>15.353908669042561</v>
      </c>
      <c r="Q40" s="11"/>
    </row>
    <row r="41" spans="1:17">
      <c r="A41" s="19" t="s">
        <v>54</v>
      </c>
      <c r="B41" s="10" t="s">
        <v>35</v>
      </c>
      <c r="C41" s="9">
        <v>26</v>
      </c>
      <c r="D41" s="11"/>
      <c r="E41" s="11"/>
      <c r="F41" s="31"/>
      <c r="G41" s="31"/>
      <c r="H41" s="21">
        <f>H40*15%</f>
        <v>74.763039445240011</v>
      </c>
      <c r="I41" s="21">
        <f>H41/H51</f>
        <v>1.1532700795230384</v>
      </c>
      <c r="J41" s="32"/>
      <c r="K41" s="32"/>
      <c r="L41" s="21">
        <f>L40*15%</f>
        <v>74.666669130047978</v>
      </c>
      <c r="M41" s="21">
        <f>L41/O51</f>
        <v>1.2836161723606729</v>
      </c>
      <c r="N41" s="20"/>
      <c r="O41" s="21">
        <f>O40*15%</f>
        <v>73.357904838951541</v>
      </c>
      <c r="P41" s="21">
        <f>P36/O51</f>
        <v>8.5725149799443609E-2</v>
      </c>
      <c r="Q41" s="11"/>
    </row>
    <row r="42" spans="1:17" hidden="1">
      <c r="A42" s="19" t="s">
        <v>76</v>
      </c>
      <c r="B42" s="10" t="s">
        <v>71</v>
      </c>
      <c r="C42" s="9"/>
      <c r="D42" s="11"/>
      <c r="E42" s="11"/>
      <c r="F42" s="11"/>
      <c r="G42" s="11"/>
      <c r="H42" s="20"/>
      <c r="I42" s="21"/>
      <c r="J42" s="20"/>
      <c r="K42" s="20"/>
      <c r="L42" s="21"/>
      <c r="M42" s="21"/>
      <c r="N42" s="20"/>
      <c r="O42" s="21"/>
      <c r="P42" s="21">
        <f>O42/3424</f>
        <v>0</v>
      </c>
      <c r="Q42" s="11"/>
    </row>
    <row r="43" spans="1:17" hidden="1">
      <c r="A43" s="19" t="s">
        <v>77</v>
      </c>
      <c r="B43" s="10" t="s">
        <v>72</v>
      </c>
      <c r="C43" s="9"/>
      <c r="D43" s="11"/>
      <c r="E43" s="11"/>
      <c r="F43" s="11"/>
      <c r="G43" s="11"/>
      <c r="H43" s="20"/>
      <c r="I43" s="21"/>
      <c r="J43" s="20"/>
      <c r="K43" s="20"/>
      <c r="L43" s="21"/>
      <c r="M43" s="21"/>
      <c r="N43" s="20"/>
      <c r="O43" s="21"/>
      <c r="P43" s="21">
        <f>P38/14</f>
        <v>6.8308852584710075E-2</v>
      </c>
      <c r="Q43" s="11"/>
    </row>
    <row r="44" spans="1:17" ht="30" hidden="1">
      <c r="A44" s="19" t="s">
        <v>55</v>
      </c>
      <c r="B44" s="10" t="s">
        <v>36</v>
      </c>
      <c r="C44" s="9">
        <v>27</v>
      </c>
      <c r="D44" s="11"/>
      <c r="E44" s="11"/>
      <c r="F44" s="31"/>
      <c r="G44" s="31"/>
      <c r="H44" s="20"/>
      <c r="I44" s="21"/>
      <c r="J44" s="32"/>
      <c r="K44" s="32"/>
      <c r="L44" s="21"/>
      <c r="M44" s="21"/>
      <c r="N44" s="20"/>
      <c r="O44" s="21"/>
      <c r="P44" s="21"/>
      <c r="Q44" s="11"/>
    </row>
    <row r="45" spans="1:17" ht="45" hidden="1">
      <c r="A45" s="19" t="s">
        <v>56</v>
      </c>
      <c r="B45" s="10" t="s">
        <v>37</v>
      </c>
      <c r="C45" s="9">
        <v>28</v>
      </c>
      <c r="D45" s="11"/>
      <c r="E45" s="11"/>
      <c r="F45" s="31"/>
      <c r="G45" s="31"/>
      <c r="H45" s="20"/>
      <c r="I45" s="21"/>
      <c r="J45" s="32"/>
      <c r="K45" s="32"/>
      <c r="L45" s="21"/>
      <c r="M45" s="21"/>
      <c r="N45" s="20"/>
      <c r="O45" s="21"/>
      <c r="P45" s="21"/>
      <c r="Q45" s="11"/>
    </row>
    <row r="46" spans="1:17" ht="30" hidden="1">
      <c r="A46" s="19" t="s">
        <v>57</v>
      </c>
      <c r="B46" s="10" t="s">
        <v>38</v>
      </c>
      <c r="C46" s="9">
        <v>29</v>
      </c>
      <c r="D46" s="11"/>
      <c r="E46" s="11"/>
      <c r="F46" s="31"/>
      <c r="G46" s="31"/>
      <c r="H46" s="20"/>
      <c r="I46" s="21"/>
      <c r="J46" s="32"/>
      <c r="K46" s="32"/>
      <c r="L46" s="21"/>
      <c r="M46" s="21"/>
      <c r="N46" s="20"/>
      <c r="O46" s="21"/>
      <c r="P46" s="21"/>
      <c r="Q46" s="11"/>
    </row>
    <row r="47" spans="1:17" ht="60">
      <c r="A47" s="19">
        <v>9</v>
      </c>
      <c r="B47" s="10" t="s">
        <v>39</v>
      </c>
      <c r="C47" s="9">
        <v>30</v>
      </c>
      <c r="D47" s="11"/>
      <c r="E47" s="11"/>
      <c r="F47" s="31"/>
      <c r="G47" s="31"/>
      <c r="H47" s="21">
        <f>H30+H32</f>
        <v>2502.4812689856913</v>
      </c>
      <c r="I47" s="21">
        <f>H47/H51</f>
        <v>38.602453745903581</v>
      </c>
      <c r="J47" s="32"/>
      <c r="K47" s="32"/>
      <c r="L47" s="21">
        <f>L30+L32</f>
        <v>2667.8050904881948</v>
      </c>
      <c r="M47" s="21">
        <f>L47/L51</f>
        <v>47.65980224539436</v>
      </c>
      <c r="N47" s="20"/>
      <c r="O47" s="21">
        <f>O30+O32</f>
        <v>2802.7188203979804</v>
      </c>
      <c r="P47" s="21">
        <f>O47/O51</f>
        <v>48.182344898450729</v>
      </c>
      <c r="Q47" s="11"/>
    </row>
    <row r="48" spans="1:17">
      <c r="A48" s="19" t="s">
        <v>78</v>
      </c>
      <c r="B48" s="10" t="s">
        <v>71</v>
      </c>
      <c r="C48" s="9"/>
      <c r="D48" s="11"/>
      <c r="E48" s="11"/>
      <c r="F48" s="11"/>
      <c r="G48" s="11"/>
      <c r="H48" s="21"/>
      <c r="I48" s="21">
        <f>I30+I33</f>
        <v>32.12690166134481</v>
      </c>
      <c r="J48" s="21">
        <f t="shared" ref="J48:K48" si="8">J30+J33</f>
        <v>0</v>
      </c>
      <c r="K48" s="21">
        <f t="shared" si="8"/>
        <v>0</v>
      </c>
      <c r="L48" s="21"/>
      <c r="M48" s="21">
        <f>M30+M33+0.01</f>
        <v>40.352550307274548</v>
      </c>
      <c r="N48" s="21">
        <f t="shared" ref="N48" si="9">N30+N33</f>
        <v>0</v>
      </c>
      <c r="O48" s="21"/>
      <c r="P48" s="21">
        <f>P30+P33</f>
        <v>41.744298801767272</v>
      </c>
      <c r="Q48" s="11"/>
    </row>
    <row r="49" spans="1:17">
      <c r="A49" s="19" t="s">
        <v>79</v>
      </c>
      <c r="B49" s="10" t="s">
        <v>72</v>
      </c>
      <c r="C49" s="9"/>
      <c r="D49" s="11"/>
      <c r="E49" s="11"/>
      <c r="F49" s="11"/>
      <c r="G49" s="11"/>
      <c r="H49" s="21"/>
      <c r="I49" s="21">
        <f>I30+I34</f>
        <v>33.295152630848257</v>
      </c>
      <c r="J49" s="21">
        <f t="shared" ref="J49:K49" si="10">J30+J34</f>
        <v>0</v>
      </c>
      <c r="K49" s="21">
        <f t="shared" si="10"/>
        <v>0</v>
      </c>
      <c r="L49" s="21"/>
      <c r="M49" s="21">
        <f>M30+M34</f>
        <v>41.809552136629989</v>
      </c>
      <c r="N49" s="21">
        <f t="shared" ref="N49" si="11">N30+N34</f>
        <v>0</v>
      </c>
      <c r="O49" s="21"/>
      <c r="P49" s="21">
        <f>P30+P34</f>
        <v>43.262273303649721</v>
      </c>
      <c r="Q49" s="11"/>
    </row>
    <row r="50" spans="1:17">
      <c r="A50" s="19" t="s">
        <v>85</v>
      </c>
      <c r="B50" s="10" t="s">
        <v>93</v>
      </c>
      <c r="C50" s="9"/>
      <c r="D50" s="11"/>
      <c r="E50" s="11"/>
      <c r="F50" s="11"/>
      <c r="G50" s="11"/>
      <c r="H50" s="21"/>
      <c r="I50" s="21">
        <f>I30+I35</f>
        <v>43.517348614003424</v>
      </c>
      <c r="J50" s="21"/>
      <c r="K50" s="21"/>
      <c r="L50" s="21"/>
      <c r="M50" s="21">
        <f>M30+M35</f>
        <v>54.645818143490068</v>
      </c>
      <c r="N50" s="21"/>
      <c r="O50" s="21"/>
      <c r="P50" s="21">
        <f>P30+P35+0.01</f>
        <v>56.544550195121118</v>
      </c>
      <c r="Q50" s="11"/>
    </row>
    <row r="51" spans="1:17" ht="62.25">
      <c r="A51" s="9">
        <v>10</v>
      </c>
      <c r="B51" s="10" t="s">
        <v>91</v>
      </c>
      <c r="C51" s="9">
        <v>31</v>
      </c>
      <c r="D51" s="11"/>
      <c r="E51" s="11"/>
      <c r="F51" s="31"/>
      <c r="G51" s="31"/>
      <c r="H51" s="20">
        <f>H52+H53+H54</f>
        <v>64.826999999999998</v>
      </c>
      <c r="I51" s="21"/>
      <c r="J51" s="32"/>
      <c r="K51" s="32"/>
      <c r="L51" s="26">
        <f>L52+L53+L54</f>
        <v>55.975999999999999</v>
      </c>
      <c r="M51" s="21"/>
      <c r="N51" s="20"/>
      <c r="O51" s="26">
        <f>O52+O53+O54</f>
        <v>58.168999999999997</v>
      </c>
      <c r="P51" s="21"/>
      <c r="Q51" s="11"/>
    </row>
    <row r="52" spans="1:17" ht="16.5" thickBot="1">
      <c r="A52" s="19" t="s">
        <v>80</v>
      </c>
      <c r="B52" s="10" t="s">
        <v>71</v>
      </c>
      <c r="C52" s="9"/>
      <c r="D52" s="11"/>
      <c r="E52" s="11"/>
      <c r="F52" s="11"/>
      <c r="G52" s="11"/>
      <c r="H52" s="20">
        <f>'без контейнерна схема'!H50+механічне!H52+вг!H52+ремонт!H52</f>
        <v>26.827999999999999</v>
      </c>
      <c r="I52" s="21"/>
      <c r="J52" s="20"/>
      <c r="K52" s="20"/>
      <c r="L52" s="18">
        <v>24.437999999999999</v>
      </c>
      <c r="M52" s="21"/>
      <c r="N52" s="20"/>
      <c r="O52" s="28">
        <v>31.852</v>
      </c>
      <c r="P52" s="21"/>
      <c r="Q52" s="11"/>
    </row>
    <row r="53" spans="1:17" ht="15.75">
      <c r="A53" s="19" t="s">
        <v>81</v>
      </c>
      <c r="B53" s="10" t="s">
        <v>72</v>
      </c>
      <c r="C53" s="9"/>
      <c r="D53" s="11"/>
      <c r="E53" s="11"/>
      <c r="F53" s="11"/>
      <c r="G53" s="11"/>
      <c r="H53" s="20">
        <f>'без контейнерна схема'!H51+механічне!H53+вг!H53+ремонт!H53</f>
        <v>1.4019999999999999</v>
      </c>
      <c r="I53" s="21"/>
      <c r="J53" s="20"/>
      <c r="K53" s="20"/>
      <c r="L53" s="22">
        <v>3.8439999999999999</v>
      </c>
      <c r="M53" s="21"/>
      <c r="N53" s="20"/>
      <c r="O53" s="28">
        <v>1.042</v>
      </c>
      <c r="P53" s="21"/>
      <c r="Q53" s="11"/>
    </row>
    <row r="54" spans="1:17" ht="15.75">
      <c r="A54" s="19" t="s">
        <v>86</v>
      </c>
      <c r="B54" s="10" t="s">
        <v>93</v>
      </c>
      <c r="C54" s="9"/>
      <c r="D54" s="11"/>
      <c r="E54" s="11"/>
      <c r="F54" s="11"/>
      <c r="G54" s="11"/>
      <c r="H54" s="20">
        <f>механічне!H54+вг!H54+ремонт!H54+27.321</f>
        <v>36.597000000000001</v>
      </c>
      <c r="I54" s="21"/>
      <c r="J54" s="20"/>
      <c r="K54" s="20"/>
      <c r="L54" s="20">
        <v>27.693999999999999</v>
      </c>
      <c r="M54" s="21"/>
      <c r="N54" s="20"/>
      <c r="O54" s="29">
        <v>25.274999999999999</v>
      </c>
      <c r="P54" s="21"/>
      <c r="Q54" s="11"/>
    </row>
    <row r="55" spans="1:17" ht="57">
      <c r="A55" s="12">
        <v>11</v>
      </c>
      <c r="B55" s="13" t="s">
        <v>40</v>
      </c>
      <c r="C55" s="12">
        <v>32</v>
      </c>
      <c r="D55" s="14"/>
      <c r="E55" s="14"/>
      <c r="F55" s="41"/>
      <c r="G55" s="41"/>
      <c r="H55" s="16"/>
      <c r="I55" s="17"/>
      <c r="J55" s="42"/>
      <c r="K55" s="42"/>
      <c r="L55" s="17"/>
      <c r="M55" s="17"/>
      <c r="N55" s="16"/>
      <c r="O55" s="17"/>
      <c r="P55" s="17"/>
      <c r="Q55" s="11"/>
    </row>
    <row r="56" spans="1:17">
      <c r="A56" s="15" t="s">
        <v>82</v>
      </c>
      <c r="B56" s="13" t="s">
        <v>74</v>
      </c>
      <c r="C56" s="12"/>
      <c r="D56" s="14"/>
      <c r="E56" s="14"/>
      <c r="F56" s="14"/>
      <c r="G56" s="14"/>
      <c r="H56" s="17"/>
      <c r="I56" s="17">
        <f>I48</f>
        <v>32.12690166134481</v>
      </c>
      <c r="J56" s="16"/>
      <c r="K56" s="16"/>
      <c r="L56" s="17"/>
      <c r="M56" s="17">
        <f>M48</f>
        <v>40.352550307274548</v>
      </c>
      <c r="N56" s="16"/>
      <c r="O56" s="17"/>
      <c r="P56" s="17">
        <f>P48+0.01</f>
        <v>41.75429880176727</v>
      </c>
      <c r="Q56" s="11"/>
    </row>
    <row r="57" spans="1:17" ht="28.5">
      <c r="A57" s="15" t="s">
        <v>83</v>
      </c>
      <c r="B57" s="13" t="s">
        <v>75</v>
      </c>
      <c r="C57" s="12"/>
      <c r="D57" s="14"/>
      <c r="E57" s="14"/>
      <c r="F57" s="14"/>
      <c r="G57" s="14"/>
      <c r="H57" s="17"/>
      <c r="I57" s="17">
        <f>I49</f>
        <v>33.295152630848257</v>
      </c>
      <c r="J57" s="16"/>
      <c r="K57" s="16"/>
      <c r="L57" s="17"/>
      <c r="M57" s="17">
        <f>M49</f>
        <v>41.809552136629989</v>
      </c>
      <c r="N57" s="16"/>
      <c r="O57" s="17"/>
      <c r="P57" s="17">
        <f>P49</f>
        <v>43.262273303649721</v>
      </c>
      <c r="Q57" s="11"/>
    </row>
    <row r="58" spans="1:17">
      <c r="A58" s="15" t="s">
        <v>87</v>
      </c>
      <c r="B58" s="13" t="s">
        <v>93</v>
      </c>
      <c r="C58" s="12"/>
      <c r="D58" s="14"/>
      <c r="E58" s="14"/>
      <c r="F58" s="14"/>
      <c r="G58" s="14"/>
      <c r="H58" s="16"/>
      <c r="I58" s="17">
        <f>I50</f>
        <v>43.517348614003424</v>
      </c>
      <c r="J58" s="16"/>
      <c r="K58" s="16"/>
      <c r="L58" s="17"/>
      <c r="M58" s="17">
        <f>M50</f>
        <v>54.645818143490068</v>
      </c>
      <c r="N58" s="16"/>
      <c r="O58" s="17"/>
      <c r="P58" s="17">
        <f>P50+0.01</f>
        <v>56.554550195121116</v>
      </c>
      <c r="Q58" s="11"/>
    </row>
    <row r="59" spans="1:17" ht="36" customHeight="1">
      <c r="A59" s="43" t="s">
        <v>94</v>
      </c>
      <c r="B59" s="43"/>
      <c r="C59" s="43"/>
      <c r="D59" s="43"/>
      <c r="E59" s="43"/>
      <c r="F59" s="43"/>
      <c r="G59" s="43" t="s">
        <v>42</v>
      </c>
      <c r="H59" s="43"/>
      <c r="I59" s="43"/>
      <c r="J59" s="43"/>
      <c r="K59" s="43" t="s">
        <v>84</v>
      </c>
      <c r="L59" s="43"/>
      <c r="M59" s="43"/>
      <c r="N59" s="43"/>
      <c r="O59" s="43"/>
      <c r="P59" s="43"/>
      <c r="Q59" s="43"/>
    </row>
    <row r="60" spans="1:17">
      <c r="A60" s="44" t="s">
        <v>41</v>
      </c>
      <c r="B60" s="44"/>
      <c r="C60" s="44"/>
      <c r="D60" s="44"/>
      <c r="E60" s="44"/>
      <c r="F60" s="44"/>
      <c r="G60" s="44" t="s">
        <v>43</v>
      </c>
      <c r="H60" s="44"/>
      <c r="I60" s="44"/>
      <c r="J60" s="44"/>
      <c r="K60" s="44" t="s">
        <v>44</v>
      </c>
      <c r="L60" s="44"/>
      <c r="M60" s="44"/>
      <c r="N60" s="44"/>
      <c r="O60" s="44"/>
      <c r="P60" s="44"/>
      <c r="Q60" s="44"/>
    </row>
    <row r="61" spans="1:17" ht="15.75" customHeight="1">
      <c r="A61" s="39" t="s">
        <v>45</v>
      </c>
      <c r="B61" s="39"/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5.75">
      <c r="A63" s="3"/>
    </row>
    <row r="64" spans="1:17">
      <c r="A64" s="23"/>
      <c r="B64" s="5"/>
    </row>
    <row r="65" spans="1:17" ht="39.75" customHeight="1">
      <c r="A65" s="23" t="s">
        <v>46</v>
      </c>
      <c r="B65" s="37" t="s">
        <v>47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</row>
    <row r="66" spans="1:17" ht="15.75">
      <c r="A66" s="6" t="s">
        <v>48</v>
      </c>
    </row>
    <row r="67" spans="1:17" ht="15.75">
      <c r="A67" s="7" t="s">
        <v>49</v>
      </c>
    </row>
    <row r="68" spans="1:17">
      <c r="A68" s="7" t="s">
        <v>50</v>
      </c>
    </row>
    <row r="69" spans="1:17">
      <c r="A69" s="8"/>
    </row>
  </sheetData>
  <mergeCells count="83">
    <mergeCell ref="F11:G11"/>
    <mergeCell ref="J11:K11"/>
    <mergeCell ref="F12:G12"/>
    <mergeCell ref="L1:Q5"/>
    <mergeCell ref="A7:Q7"/>
    <mergeCell ref="B8:B10"/>
    <mergeCell ref="C8:C10"/>
    <mergeCell ref="D8:K8"/>
    <mergeCell ref="L8:N9"/>
    <mergeCell ref="O8:Q9"/>
    <mergeCell ref="D9:G9"/>
    <mergeCell ref="H9:K9"/>
    <mergeCell ref="F10:G10"/>
    <mergeCell ref="J10:K10"/>
    <mergeCell ref="J12:K12"/>
    <mergeCell ref="F14:G14"/>
    <mergeCell ref="J14:K14"/>
    <mergeCell ref="F15:G15"/>
    <mergeCell ref="J15:K15"/>
    <mergeCell ref="F13:G13"/>
    <mergeCell ref="J13:K13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6:G36"/>
    <mergeCell ref="J36:K36"/>
    <mergeCell ref="F40:G40"/>
    <mergeCell ref="J40:K40"/>
    <mergeCell ref="F41:G41"/>
    <mergeCell ref="J41:K41"/>
    <mergeCell ref="F44:G44"/>
    <mergeCell ref="J44:K44"/>
    <mergeCell ref="F45:G45"/>
    <mergeCell ref="J45:K45"/>
    <mergeCell ref="F46:G46"/>
    <mergeCell ref="J46:K46"/>
    <mergeCell ref="F47:G47"/>
    <mergeCell ref="J47:K47"/>
    <mergeCell ref="F51:G51"/>
    <mergeCell ref="J51:K51"/>
    <mergeCell ref="A61:F61"/>
    <mergeCell ref="G61:J61"/>
    <mergeCell ref="K61:Q61"/>
    <mergeCell ref="B65:Q65"/>
    <mergeCell ref="F55:G55"/>
    <mergeCell ref="J55:K55"/>
    <mergeCell ref="A59:F59"/>
    <mergeCell ref="G59:J59"/>
    <mergeCell ref="K59:Q59"/>
    <mergeCell ref="A60:F60"/>
    <mergeCell ref="G60:J60"/>
    <mergeCell ref="K60:Q60"/>
  </mergeCells>
  <pageMargins left="1.299212598425197" right="0.70866141732283472" top="0.55118110236220474" bottom="0.74803149606299213" header="0.31496062992125984" footer="0.31496062992125984"/>
  <pageSetup paperSize="9" scale="70" orientation="portrait" r:id="rId1"/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без контейнерна схема</vt:lpstr>
      <vt:lpstr>механічне</vt:lpstr>
      <vt:lpstr>збір</vt:lpstr>
      <vt:lpstr>вг</vt:lpstr>
      <vt:lpstr>ремонт</vt:lpstr>
      <vt:lpstr>захоронення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2021-11-18T12:20:32Z</cp:lastPrinted>
  <dcterms:created xsi:type="dcterms:W3CDTF">2015-06-05T18:19:34Z</dcterms:created>
  <dcterms:modified xsi:type="dcterms:W3CDTF">2021-11-30T07:43:01Z</dcterms:modified>
</cp:coreProperties>
</file>