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filterPrivacy="1"/>
  <xr:revisionPtr revIDLastSave="0" documentId="13_ncr:1_{42FB4E86-DE86-4CD2-8371-9EDDCF1FB314}" xr6:coauthVersionLast="47" xr6:coauthVersionMax="47" xr10:uidLastSave="{00000000-0000-0000-0000-000000000000}"/>
  <bookViews>
    <workbookView xWindow="-120" yWindow="-120" windowWidth="21840" windowHeight="13140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ніг" sheetId="14" r:id="rId14"/>
    <sheet name="дератизація" sheetId="15" r:id="rId15"/>
    <sheet name="диспетчериз" sheetId="17" r:id="rId16"/>
    <sheet name="ліфти" sheetId="16" r:id="rId17"/>
    <sheet name="обслуг. пожежн" sheetId="20" r:id="rId18"/>
    <sheet name="сход.клітки" sheetId="13" r:id="rId19"/>
  </sheets>
  <externalReferences>
    <externalReference r:id="rId20"/>
    <externalReference r:id="rId21"/>
  </externalReferences>
  <definedNames>
    <definedName name="_xlnm.Print_Area" localSheetId="10">вентканали!$A$1:$I$45</definedName>
    <definedName name="_xlnm.Print_Area" localSheetId="6">кошторис!$A$1:$D$32</definedName>
    <definedName name="_xlnm.Print_Area" localSheetId="9">'ТО внутріньобудин'!$A$1:$K$144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3" l="1"/>
  <c r="D11" i="3"/>
  <c r="D10" i="3"/>
  <c r="F33" i="12"/>
  <c r="F35" i="12" s="1"/>
  <c r="G33" i="12"/>
  <c r="G31" i="12"/>
  <c r="G32" i="12"/>
  <c r="G35" i="12" l="1"/>
  <c r="D13" i="3"/>
  <c r="D12" i="3"/>
  <c r="M16" i="2"/>
  <c r="E24" i="11" l="1"/>
  <c r="C24" i="11"/>
  <c r="G24" i="11" l="1"/>
  <c r="D22" i="15" l="1"/>
  <c r="C22" i="15"/>
  <c r="E22" i="15" s="1"/>
  <c r="D64" i="14"/>
  <c r="D65" i="14"/>
  <c r="D63" i="14"/>
  <c r="C64" i="14"/>
  <c r="C65" i="14"/>
  <c r="F65" i="14" s="1"/>
  <c r="C63" i="14"/>
  <c r="E24" i="12" l="1"/>
  <c r="C24" i="12"/>
  <c r="G24" i="12" s="1"/>
  <c r="D44" i="10"/>
  <c r="C44" i="10"/>
  <c r="E44" i="10" s="1"/>
  <c r="F125" i="9"/>
  <c r="C125" i="9"/>
  <c r="H125" i="9" s="1"/>
  <c r="F23" i="8"/>
  <c r="D23" i="8"/>
  <c r="H23" i="8" s="1"/>
  <c r="A23" i="8"/>
  <c r="E51" i="5"/>
  <c r="E49" i="5"/>
  <c r="C23" i="4" l="1"/>
  <c r="D22" i="4"/>
  <c r="D21" i="4"/>
  <c r="I112" i="7"/>
  <c r="H112" i="7"/>
  <c r="D23" i="4" l="1"/>
  <c r="D24" i="4" s="1"/>
  <c r="K7" i="4" s="1"/>
  <c r="M104" i="2"/>
  <c r="N89" i="2" l="1"/>
  <c r="H50" i="14" l="1"/>
  <c r="I144" i="9"/>
  <c r="E109" i="9" l="1"/>
  <c r="E139" i="9" s="1"/>
  <c r="N16" i="2" l="1"/>
  <c r="I13" i="20" l="1"/>
  <c r="H13" i="20" l="1"/>
  <c r="F33" i="20"/>
  <c r="G33" i="20"/>
  <c r="E23" i="20"/>
  <c r="C23" i="20"/>
  <c r="E22" i="20"/>
  <c r="C22" i="20"/>
  <c r="H14" i="20"/>
  <c r="I14" i="20" s="1"/>
  <c r="H10" i="20"/>
  <c r="I10" i="20" s="1"/>
  <c r="G23" i="20" l="1"/>
  <c r="G22" i="20"/>
  <c r="H22" i="20"/>
  <c r="I11" i="20"/>
  <c r="H11" i="20" s="1"/>
  <c r="I22" i="20" l="1"/>
  <c r="H23" i="20" s="1"/>
  <c r="I23" i="20" s="1"/>
  <c r="I24" i="20" s="1"/>
  <c r="I12" i="20" s="1"/>
  <c r="E90" i="9"/>
  <c r="H12" i="20" l="1"/>
  <c r="H15" i="20" s="1"/>
  <c r="C10" i="1" s="1"/>
  <c r="I15" i="20"/>
  <c r="D51" i="14"/>
  <c r="D49" i="14"/>
  <c r="D48" i="14"/>
  <c r="D43" i="14"/>
  <c r="D37" i="14"/>
  <c r="G19" i="14"/>
  <c r="E111" i="9"/>
  <c r="E110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2" i="14"/>
  <c r="D33" i="5" l="1"/>
  <c r="D31" i="5"/>
  <c r="H31" i="5" s="1"/>
  <c r="C110" i="7"/>
  <c r="H114" i="7" s="1"/>
  <c r="D37" i="3" l="1"/>
  <c r="C36" i="10" l="1"/>
  <c r="D132" i="9" l="1"/>
  <c r="E132" i="9" s="1"/>
  <c r="G132" i="9" l="1"/>
  <c r="H52" i="14"/>
  <c r="F10" i="15" l="1"/>
  <c r="L10" i="8" l="1"/>
  <c r="G21" i="14"/>
  <c r="K10" i="8" l="1"/>
  <c r="D71" i="14"/>
  <c r="F58" i="14"/>
  <c r="G139" i="9" l="1"/>
  <c r="H139" i="9" s="1"/>
  <c r="G140" i="9"/>
  <c r="H140" i="9" s="1"/>
  <c r="H132" i="9"/>
  <c r="E138" i="9"/>
  <c r="G138" i="9" s="1"/>
  <c r="H138" i="9" s="1"/>
  <c r="D135" i="9"/>
  <c r="G135" i="9" s="1"/>
  <c r="H135" i="9" s="1"/>
  <c r="E134" i="9"/>
  <c r="G134" i="9" s="1"/>
  <c r="H134" i="9" s="1"/>
  <c r="E133" i="9"/>
  <c r="G133" i="9" s="1"/>
  <c r="H133" i="9" s="1"/>
  <c r="D139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I71" i="14"/>
  <c r="I21" i="14"/>
  <c r="J31" i="14"/>
  <c r="D58" i="14" s="1"/>
  <c r="G31" i="14"/>
  <c r="G71" i="14"/>
  <c r="H51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E20" i="15" l="1"/>
  <c r="G20" i="15" s="1"/>
  <c r="H53" i="14"/>
  <c r="C58" i="14" s="1"/>
  <c r="E58" i="14" s="1"/>
  <c r="J71" i="14"/>
  <c r="I16" i="14" s="1"/>
  <c r="G16" i="14" s="1"/>
  <c r="G11" i="17"/>
  <c r="I12" i="16"/>
  <c r="I13" i="16" s="1"/>
  <c r="C7" i="1" s="1"/>
  <c r="J12" i="16"/>
  <c r="J13" i="16" s="1"/>
  <c r="E21" i="15"/>
  <c r="I22" i="14"/>
  <c r="D74" i="13"/>
  <c r="D73" i="13"/>
  <c r="C74" i="13"/>
  <c r="F64" i="14" s="1"/>
  <c r="C73" i="13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H13" i="12"/>
  <c r="I13" i="12" s="1"/>
  <c r="H10" i="12"/>
  <c r="I10" i="12" s="1"/>
  <c r="E23" i="12"/>
  <c r="C23" i="12"/>
  <c r="E22" i="12"/>
  <c r="C22" i="12"/>
  <c r="H14" i="12"/>
  <c r="I14" i="12" s="1"/>
  <c r="E23" i="11"/>
  <c r="E22" i="11"/>
  <c r="C23" i="11"/>
  <c r="G23" i="11" s="1"/>
  <c r="C22" i="11"/>
  <c r="G22" i="11" s="1"/>
  <c r="H14" i="11"/>
  <c r="I14" i="11" s="1"/>
  <c r="F21" i="15" l="1"/>
  <c r="F22" i="15"/>
  <c r="G22" i="15" s="1"/>
  <c r="F63" i="14"/>
  <c r="G22" i="12"/>
  <c r="G23" i="12"/>
  <c r="H22" i="17"/>
  <c r="G58" i="14"/>
  <c r="I58" i="14" s="1"/>
  <c r="C8" i="7"/>
  <c r="G21" i="15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D43" i="10"/>
  <c r="D42" i="10"/>
  <c r="C43" i="10"/>
  <c r="E43" i="10" s="1"/>
  <c r="C42" i="10"/>
  <c r="F19" i="10"/>
  <c r="F17" i="10"/>
  <c r="D35" i="10" s="1"/>
  <c r="F18" i="10"/>
  <c r="E42" i="10"/>
  <c r="D36" i="10"/>
  <c r="F21" i="10"/>
  <c r="F20" i="10"/>
  <c r="F16" i="10"/>
  <c r="C35" i="10" s="1"/>
  <c r="F15" i="10"/>
  <c r="C124" i="9"/>
  <c r="F124" i="9"/>
  <c r="F123" i="9"/>
  <c r="G23" i="15" l="1"/>
  <c r="G12" i="15" s="1"/>
  <c r="G13" i="15" s="1"/>
  <c r="F13" i="15" s="1"/>
  <c r="C17" i="1" s="1"/>
  <c r="H24" i="12"/>
  <c r="I24" i="12" s="1"/>
  <c r="E36" i="10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H23" i="12"/>
  <c r="I23" i="12" s="1"/>
  <c r="E35" i="10"/>
  <c r="F22" i="10"/>
  <c r="H22" i="10" s="1"/>
  <c r="C123" i="9"/>
  <c r="I25" i="12" l="1"/>
  <c r="F12" i="15"/>
  <c r="I12" i="12"/>
  <c r="H15" i="17"/>
  <c r="I11" i="13"/>
  <c r="I12" i="13" s="1"/>
  <c r="G12" i="13" s="1"/>
  <c r="G63" i="14"/>
  <c r="I63" i="14" s="1"/>
  <c r="I11" i="14"/>
  <c r="E37" i="10"/>
  <c r="K23" i="9"/>
  <c r="D118" i="9" s="1"/>
  <c r="H23" i="9"/>
  <c r="E131" i="9"/>
  <c r="E130" i="9"/>
  <c r="G130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H12" i="12" l="1"/>
  <c r="H15" i="12" s="1"/>
  <c r="C11" i="1" s="1"/>
  <c r="I15" i="12"/>
  <c r="G11" i="13"/>
  <c r="G131" i="9"/>
  <c r="H131" i="9" s="1"/>
  <c r="I12" i="14"/>
  <c r="G12" i="14" s="1"/>
  <c r="G11" i="14"/>
  <c r="D117" i="9"/>
  <c r="I83" i="9"/>
  <c r="C117" i="9" s="1"/>
  <c r="F117" i="9" s="1"/>
  <c r="C10" i="7" s="1"/>
  <c r="H123" i="9"/>
  <c r="H124" i="9"/>
  <c r="H130" i="9"/>
  <c r="F22" i="8"/>
  <c r="F21" i="8"/>
  <c r="D22" i="8"/>
  <c r="D21" i="8"/>
  <c r="D34" i="5" l="1"/>
  <c r="D49" i="3" l="1"/>
  <c r="K11" i="8" s="1"/>
  <c r="H22" i="8"/>
  <c r="H21" i="8"/>
  <c r="L21" i="8" s="1"/>
  <c r="B17" i="5"/>
  <c r="B4" i="1"/>
  <c r="A1" i="9" s="1"/>
  <c r="J22" i="8" l="1"/>
  <c r="J23" i="8"/>
  <c r="L23" i="8" s="1"/>
  <c r="A1" i="8"/>
  <c r="L22" i="8"/>
  <c r="H31" i="7"/>
  <c r="I31" i="7" s="1"/>
  <c r="H24" i="7"/>
  <c r="I24" i="7" s="1"/>
  <c r="L24" i="8" l="1"/>
  <c r="L12" i="8" s="1"/>
  <c r="L13" i="8" s="1"/>
  <c r="K13" i="8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C44" i="5"/>
  <c r="D28" i="5"/>
  <c r="H28" i="5" s="1"/>
  <c r="J23" i="5"/>
  <c r="D43" i="5" s="1"/>
  <c r="G23" i="5"/>
  <c r="A1" i="5"/>
  <c r="A1" i="20" s="1"/>
  <c r="A4" i="1"/>
  <c r="D29" i="4"/>
  <c r="D30" i="4"/>
  <c r="D28" i="4"/>
  <c r="C31" i="4"/>
  <c r="H2" i="9"/>
  <c r="H36" i="5"/>
  <c r="H35" i="5"/>
  <c r="H34" i="5"/>
  <c r="H33" i="5"/>
  <c r="H30" i="5"/>
  <c r="G15" i="5"/>
  <c r="K13" i="4"/>
  <c r="J7" i="4"/>
  <c r="A1" i="4"/>
  <c r="K12" i="8" l="1"/>
  <c r="C19" i="1" s="1"/>
  <c r="D31" i="4"/>
  <c r="A1" i="12"/>
  <c r="A1" i="11"/>
  <c r="A1" i="13"/>
  <c r="A1" i="10"/>
  <c r="G145" i="7"/>
  <c r="D44" i="5"/>
  <c r="E44" i="5" s="1"/>
  <c r="C12" i="7" s="1"/>
  <c r="I74" i="7"/>
  <c r="B11" i="7" s="1"/>
  <c r="G110" i="7"/>
  <c r="H115" i="7" s="1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50" i="5"/>
  <c r="B2" i="3"/>
  <c r="D7" i="3"/>
  <c r="M23" i="2"/>
  <c r="M22" i="2"/>
  <c r="N17" i="2"/>
  <c r="N18" i="2"/>
  <c r="N15" i="2"/>
  <c r="H16" i="20" l="1"/>
  <c r="H17" i="20" s="1"/>
  <c r="D10" i="1" s="1"/>
  <c r="G32" i="11"/>
  <c r="G35" i="11" s="1"/>
  <c r="H13" i="11" s="1"/>
  <c r="I13" i="11" s="1"/>
  <c r="F32" i="11"/>
  <c r="F35" i="11" s="1"/>
  <c r="H10" i="11" s="1"/>
  <c r="I10" i="11" s="1"/>
  <c r="D32" i="4"/>
  <c r="D47" i="3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9"/>
  <c r="K14" i="8"/>
  <c r="K15" i="8" s="1"/>
  <c r="D19" i="1" s="1"/>
  <c r="G17" i="5"/>
  <c r="B10" i="7"/>
  <c r="D10" i="7" s="1"/>
  <c r="E10" i="7" s="1"/>
  <c r="I10" i="7" s="1"/>
  <c r="A1" i="15"/>
  <c r="A1" i="14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I11" i="11" l="1"/>
  <c r="H11" i="11" s="1"/>
  <c r="H22" i="11"/>
  <c r="I22" i="11" s="1"/>
  <c r="H24" i="11" s="1"/>
  <c r="H23" i="11"/>
  <c r="I23" i="11" s="1"/>
  <c r="F10" i="4"/>
  <c r="K10" i="4" s="1"/>
  <c r="F7" i="4"/>
  <c r="F11" i="4"/>
  <c r="K11" i="4" s="1"/>
  <c r="F36" i="10" s="1"/>
  <c r="G36" i="10" s="1"/>
  <c r="F9" i="4"/>
  <c r="K9" i="4" s="1"/>
  <c r="G117" i="9" s="1"/>
  <c r="H117" i="9" s="1"/>
  <c r="F8" i="4"/>
  <c r="K8" i="4" s="1"/>
  <c r="F44" i="5" s="1"/>
  <c r="G44" i="5" s="1"/>
  <c r="F12" i="4"/>
  <c r="K12" i="4" s="1"/>
  <c r="H10" i="7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G118" i="9" l="1"/>
  <c r="H44" i="5"/>
  <c r="I44" i="5" s="1"/>
  <c r="H36" i="10"/>
  <c r="I36" i="10" s="1"/>
  <c r="H12" i="10" s="1"/>
  <c r="F12" i="10" s="1"/>
  <c r="I117" i="9"/>
  <c r="J117" i="9" s="1"/>
  <c r="H43" i="5"/>
  <c r="I43" i="5" s="1"/>
  <c r="H35" i="10"/>
  <c r="F35" i="10"/>
  <c r="G35" i="10" s="1"/>
  <c r="G37" i="10" s="1"/>
  <c r="I9" i="7"/>
  <c r="I14" i="13" s="1"/>
  <c r="G74" i="13" s="1"/>
  <c r="I74" i="13" s="1"/>
  <c r="I75" i="13" s="1"/>
  <c r="I13" i="13" s="1"/>
  <c r="G15" i="14"/>
  <c r="G14" i="14" s="1"/>
  <c r="I14" i="14"/>
  <c r="E7" i="7"/>
  <c r="H7" i="7"/>
  <c r="G7" i="7"/>
  <c r="I174" i="7"/>
  <c r="F14" i="7" s="1"/>
  <c r="H37" i="10" l="1"/>
  <c r="G49" i="5"/>
  <c r="I49" i="5" s="1"/>
  <c r="G64" i="14"/>
  <c r="I64" i="14" s="1"/>
  <c r="G65" i="14"/>
  <c r="I65" i="14" s="1"/>
  <c r="I11" i="5"/>
  <c r="I35" i="10"/>
  <c r="I37" i="10" s="1"/>
  <c r="H11" i="10" s="1"/>
  <c r="G14" i="13"/>
  <c r="G13" i="13"/>
  <c r="I16" i="13"/>
  <c r="G18" i="13" s="1"/>
  <c r="D15" i="1" s="1"/>
  <c r="I7" i="7"/>
  <c r="I14" i="5" s="1"/>
  <c r="G16" i="13" l="1"/>
  <c r="C15" i="1" s="1"/>
  <c r="G11" i="5"/>
  <c r="I66" i="14"/>
  <c r="I13" i="14" s="1"/>
  <c r="I12" i="5"/>
  <c r="G12" i="5" s="1"/>
  <c r="F42" i="10"/>
  <c r="H42" i="10" s="1"/>
  <c r="F11" i="10"/>
  <c r="G14" i="7"/>
  <c r="G13" i="14" l="1"/>
  <c r="G18" i="14" s="1"/>
  <c r="G23" i="14" s="1"/>
  <c r="I18" i="14"/>
  <c r="I23" i="14" s="1"/>
  <c r="G25" i="14" s="1"/>
  <c r="G51" i="5"/>
  <c r="I51" i="5" s="1"/>
  <c r="G50" i="5"/>
  <c r="I50" i="5" s="1"/>
  <c r="F43" i="10"/>
  <c r="H43" i="10" s="1"/>
  <c r="F44" i="10"/>
  <c r="H44" i="10" s="1"/>
  <c r="G14" i="5"/>
  <c r="H45" i="10" l="1"/>
  <c r="H13" i="10" s="1"/>
  <c r="I52" i="5"/>
  <c r="I13" i="5" s="1"/>
  <c r="E102" i="9"/>
  <c r="E136" i="9" s="1"/>
  <c r="G136" i="9" s="1"/>
  <c r="H136" i="9" s="1"/>
  <c r="E103" i="9"/>
  <c r="H103" i="9" s="1"/>
  <c r="F13" i="10" l="1"/>
  <c r="F23" i="10" s="1"/>
  <c r="C9" i="1" s="1"/>
  <c r="H23" i="10"/>
  <c r="F25" i="10" s="1"/>
  <c r="D9" i="1" s="1"/>
  <c r="G13" i="5"/>
  <c r="G16" i="5" s="1"/>
  <c r="C14" i="1" s="1"/>
  <c r="I16" i="5"/>
  <c r="G18" i="5" s="1"/>
  <c r="D14" i="1" s="1"/>
  <c r="H102" i="9"/>
  <c r="H112" i="9" s="1"/>
  <c r="C118" i="9" s="1"/>
  <c r="F118" i="9" s="1"/>
  <c r="E137" i="9"/>
  <c r="G137" i="9" s="1"/>
  <c r="H137" i="9" s="1"/>
  <c r="H141" i="9" s="1"/>
  <c r="C11" i="7" l="1"/>
  <c r="D11" i="7" s="1"/>
  <c r="H11" i="7" s="1"/>
  <c r="H14" i="7" s="1"/>
  <c r="H118" i="9"/>
  <c r="I118" i="9" l="1"/>
  <c r="J118" i="9" s="1"/>
  <c r="D14" i="7"/>
  <c r="E11" i="7"/>
  <c r="E14" i="7" s="1"/>
  <c r="I123" i="9" l="1"/>
  <c r="K123" i="9" s="1"/>
  <c r="J10" i="9"/>
  <c r="H10" i="9" s="1"/>
  <c r="I11" i="7"/>
  <c r="J13" i="9" s="1"/>
  <c r="J11" i="9" l="1"/>
  <c r="H11" i="9" s="1"/>
  <c r="H13" i="9"/>
  <c r="I125" i="9"/>
  <c r="K125" i="9" s="1"/>
  <c r="I14" i="7"/>
  <c r="I124" i="9"/>
  <c r="K124" i="9" s="1"/>
  <c r="K126" i="9" l="1"/>
  <c r="J12" i="9" s="1"/>
  <c r="H12" i="9" l="1"/>
  <c r="H16" i="9" s="1"/>
  <c r="C6" i="1" s="1"/>
  <c r="J16" i="9"/>
  <c r="K18" i="9" s="1"/>
  <c r="D6" i="1" s="1"/>
  <c r="I24" i="11" l="1"/>
  <c r="I25" i="11" s="1"/>
  <c r="I12" i="11" s="1"/>
  <c r="I15" i="11" s="1"/>
  <c r="H17" i="11" s="1"/>
  <c r="D12" i="1" s="1"/>
  <c r="D20" i="1" s="1"/>
  <c r="D21" i="1" s="1"/>
  <c r="H12" i="11" l="1"/>
  <c r="H15" i="11" s="1"/>
  <c r="C12" i="1" s="1"/>
  <c r="C20" i="1" s="1"/>
  <c r="C21" i="1" s="1"/>
  <c r="D22" i="1"/>
  <c r="D23" i="1" s="1"/>
  <c r="C22" i="1" l="1"/>
  <c r="C23" i="1" s="1"/>
</calcChain>
</file>

<file path=xl/sharedStrings.xml><?xml version="1.0" encoding="utf-8"?>
<sst xmlns="http://schemas.openxmlformats.org/spreadsheetml/2006/main" count="1884" uniqueCount="1008">
  <si>
    <t>Технічне обслуговування ліфтів</t>
  </si>
  <si>
    <t>Обслуговування систем диспетчеризації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</si>
  <si>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</si>
  <si>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</si>
  <si>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</si>
  <si>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</si>
  <si>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</si>
  <si>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ПДВ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</si>
  <si>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</si>
  <si>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</si>
  <si>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</si>
  <si>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</si>
  <si>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</si>
  <si>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</si>
  <si>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</si>
  <si>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</si>
  <si>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</si>
  <si>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</si>
  <si>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</si>
  <si>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</si>
  <si>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</si>
  <si>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</si>
  <si>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</si>
  <si>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</si>
  <si>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</si>
  <si>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</si>
  <si>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</si>
  <si>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</si>
  <si>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</si>
  <si>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</si>
  <si>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</si>
  <si>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</si>
  <si>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</si>
  <si>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</si>
  <si>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</si>
  <si>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</si>
  <si>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</si>
  <si>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</si>
  <si>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</si>
  <si>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</si>
  <si>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</si>
  <si>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</si>
  <si>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</si>
  <si>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</si>
  <si>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</si>
  <si>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</si>
  <si>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</si>
  <si>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</si>
  <si>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</si>
  <si>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</si>
  <si>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</si>
  <si>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</si>
  <si>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</si>
  <si>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</si>
  <si>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</si>
  <si>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</si>
  <si>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</si>
  <si>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</si>
  <si>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</si>
  <si>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</si>
  <si>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</si>
  <si>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</si>
  <si>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</si>
  <si>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</si>
  <si>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</si>
  <si>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</si>
  <si>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</si>
  <si>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</si>
  <si>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</si>
  <si>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</si>
  <si>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</si>
  <si>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</si>
  <si>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</si>
  <si>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</si>
  <si>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</si>
  <si>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</si>
  <si>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</si>
  <si>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</si>
  <si>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</si>
  <si>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</si>
  <si>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</si>
  <si>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</si>
  <si>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</si>
  <si>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</si>
  <si>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</si>
  <si>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</si>
  <si>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</si>
  <si>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</si>
  <si>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</si>
  <si>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</si>
  <si>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</si>
  <si>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</si>
  <si>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</si>
  <si>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</si>
  <si>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</si>
  <si>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</si>
  <si>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</si>
  <si>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</si>
  <si>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</si>
  <si>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</si>
  <si>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</si>
  <si>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</si>
  <si>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</si>
  <si>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</si>
  <si>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</si>
  <si>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</si>
  <si>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</si>
  <si>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</si>
  <si>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</si>
  <si>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</si>
  <si>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</si>
  <si>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</si>
  <si>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</si>
  <si>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</si>
  <si>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</si>
  <si>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</si>
  <si>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</si>
  <si>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</si>
  <si>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</si>
  <si>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</si>
  <si>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</si>
  <si>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</si>
  <si>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</si>
  <si>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</si>
  <si>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</si>
  <si>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</si>
  <si>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</si>
  <si>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</si>
  <si>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</si>
  <si>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</si>
  <si>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</si>
  <si>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</si>
  <si>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</si>
  <si>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</si>
  <si>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</si>
  <si>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</si>
  <si>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</si>
  <si>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</si>
  <si>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</si>
  <si>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</si>
  <si>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</si>
  <si>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</si>
  <si>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</si>
  <si>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</si>
  <si>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</si>
  <si>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</si>
  <si>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</si>
  <si>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</si>
  <si>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</si>
  <si>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</si>
  <si>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</si>
  <si>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</si>
  <si>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</si>
  <si>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</si>
  <si>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</si>
  <si>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</si>
  <si>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</si>
  <si>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</si>
  <si>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</si>
  <si>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</si>
  <si>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</si>
  <si>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</si>
  <si>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</si>
  <si>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</si>
  <si>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</si>
  <si>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</si>
  <si>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</si>
  <si>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</si>
  <si>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</si>
  <si>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</si>
  <si>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</si>
  <si>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</si>
  <si>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</si>
  <si>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</si>
  <si>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</si>
  <si>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</si>
  <si>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</si>
  <si>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</si>
  <si>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</si>
  <si>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</si>
  <si>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</si>
  <si>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</si>
  <si>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</si>
  <si>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</si>
  <si>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</si>
  <si>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</si>
  <si>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</si>
  <si>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</si>
  <si>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</si>
  <si>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</si>
  <si>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</si>
  <si>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</si>
  <si>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</si>
  <si>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</si>
  <si>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</si>
  <si>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</si>
  <si>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</si>
  <si>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</si>
  <si>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</si>
  <si>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</si>
  <si>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</si>
  <si>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</si>
  <si>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</si>
  <si>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</si>
  <si>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</si>
  <si>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</si>
  <si>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</si>
  <si>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</si>
  <si>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</si>
  <si>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</si>
  <si>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</si>
  <si>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</si>
  <si>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</si>
  <si>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</si>
  <si>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</si>
  <si>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</si>
  <si>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</si>
  <si>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</si>
  <si>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</si>
  <si>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</si>
  <si>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</si>
  <si>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</si>
  <si>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</si>
  <si>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</si>
  <si>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</si>
  <si>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</si>
  <si>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</si>
  <si>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</si>
  <si>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</si>
  <si>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</si>
  <si>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</si>
  <si>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</si>
  <si>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</si>
  <si>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</si>
  <si>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</si>
  <si>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</si>
  <si>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</si>
  <si>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</si>
  <si>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</si>
  <si>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</si>
  <si>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</si>
  <si>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</si>
  <si>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</si>
  <si>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</si>
  <si>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</si>
  <si>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</si>
  <si>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</si>
  <si>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</si>
  <si>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</si>
  <si>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</si>
  <si>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</si>
  <si>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</si>
  <si>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</si>
  <si>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</si>
  <si>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</si>
  <si>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</si>
  <si>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</si>
  <si>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</si>
  <si>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</si>
  <si>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</si>
  <si>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</si>
  <si>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</si>
  <si>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</si>
  <si>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</si>
  <si>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</si>
  <si>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</si>
  <si>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</si>
  <si>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</si>
  <si>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</si>
  <si>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</si>
  <si>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</si>
  <si>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</si>
  <si>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</si>
  <si>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</si>
  <si>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</si>
  <si>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</si>
  <si>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</si>
  <si>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</si>
  <si>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</si>
  <si>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</si>
  <si>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</si>
  <si>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</si>
  <si>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</si>
  <si>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</si>
  <si>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</si>
  <si>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</si>
  <si>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</si>
  <si>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</si>
  <si>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</si>
  <si>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</si>
  <si>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</si>
  <si>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</si>
  <si>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</si>
  <si>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</si>
  <si>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</si>
  <si>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</si>
  <si>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</si>
  <si>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</si>
  <si>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</si>
  <si>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</si>
  <si>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</si>
  <si>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</si>
  <si>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</si>
  <si>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</si>
  <si>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</si>
  <si>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</si>
  <si>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</si>
  <si>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</si>
  <si>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</si>
  <si>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</si>
  <si>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</si>
  <si>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</si>
  <si>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</si>
  <si>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</si>
  <si>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</si>
  <si>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</si>
  <si>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</si>
  <si>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</si>
  <si>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</si>
  <si>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</si>
  <si>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</si>
  <si>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</si>
  <si>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</si>
  <si>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</si>
  <si>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</si>
  <si>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</si>
  <si>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</si>
  <si>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</si>
  <si>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</si>
  <si>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</si>
  <si>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</si>
  <si>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</si>
  <si>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</si>
  <si>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</si>
  <si>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</si>
  <si>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</si>
  <si>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</si>
  <si>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</si>
  <si>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</si>
  <si>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</si>
  <si>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</si>
  <si>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</si>
  <si>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</si>
  <si>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</si>
  <si>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</si>
  <si>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</si>
  <si>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</si>
  <si>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</si>
  <si>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</si>
  <si>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</si>
  <si>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</si>
  <si>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</si>
  <si>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</si>
  <si>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</si>
  <si>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</si>
  <si>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</si>
  <si>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</si>
  <si>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</si>
  <si>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</si>
  <si>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</si>
  <si>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</si>
  <si>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</si>
  <si>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</si>
  <si>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</si>
  <si>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</si>
  <si>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</si>
  <si>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</si>
  <si>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</si>
  <si>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</si>
  <si>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</si>
  <si>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</si>
  <si>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</si>
  <si>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</si>
  <si>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</si>
  <si>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</si>
  <si>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</si>
  <si>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</si>
  <si>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</si>
  <si>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</si>
  <si>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</si>
  <si>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</si>
  <si>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</si>
  <si>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</si>
  <si>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</si>
  <si>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</si>
  <si>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</si>
  <si>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</si>
  <si>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</si>
  <si>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</si>
  <si>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</si>
  <si>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</si>
  <si>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</si>
  <si>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</si>
  <si>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</si>
  <si>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</si>
  <si>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</si>
  <si>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</si>
  <si>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</si>
  <si>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</si>
  <si>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</si>
  <si>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</si>
  <si>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</si>
  <si>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</si>
  <si>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</si>
  <si>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</si>
  <si>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</si>
  <si>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</si>
  <si>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</si>
  <si>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</si>
  <si>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</si>
  <si>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</si>
  <si>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</si>
  <si>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</si>
  <si>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</si>
  <si>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</si>
  <si>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</si>
  <si>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</si>
  <si>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</si>
  <si>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</si>
  <si>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</si>
  <si>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</si>
  <si>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</si>
  <si>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</si>
  <si>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</si>
  <si>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</si>
  <si>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</si>
  <si>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</si>
  <si>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</si>
  <si>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</si>
  <si>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</si>
  <si>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</si>
  <si>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</si>
  <si>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</si>
  <si>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</si>
  <si>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</si>
  <si>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</si>
  <si>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</si>
  <si>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</si>
  <si>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</si>
  <si>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</si>
  <si>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</si>
  <si>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</si>
  <si>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</si>
  <si>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</si>
  <si>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</si>
  <si>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</si>
  <si>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</si>
  <si>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</si>
  <si>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</si>
  <si>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</si>
  <si>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</si>
  <si>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</si>
  <si>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</si>
  <si>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</si>
  <si>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</si>
  <si>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</si>
  <si>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</si>
  <si>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</si>
  <si>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</si>
  <si>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</si>
  <si>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</si>
  <si>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</si>
  <si>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</si>
  <si>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</si>
  <si>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</si>
  <si>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</si>
  <si>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</si>
  <si>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</si>
  <si>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</si>
  <si>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</si>
  <si>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</si>
  <si>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</si>
  <si>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</si>
  <si>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</si>
  <si>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</si>
  <si>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</si>
  <si>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</si>
  <si>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</si>
  <si>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</si>
  <si>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</si>
  <si>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</si>
  <si>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</si>
  <si>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</si>
  <si>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</si>
  <si>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</si>
  <si>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</si>
  <si>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</si>
  <si>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</si>
  <si>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</si>
  <si>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</si>
  <si>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</si>
  <si>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</si>
  <si>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</si>
  <si>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</si>
  <si>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</si>
  <si>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</si>
  <si>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</si>
  <si>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</si>
  <si>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</si>
  <si>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</si>
  <si>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</si>
  <si>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</si>
  <si>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</si>
  <si>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</si>
  <si>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</si>
  <si>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</si>
  <si>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</si>
  <si>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</si>
  <si>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</si>
  <si>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</si>
  <si>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</si>
  <si>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</si>
  <si>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</si>
  <si>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</si>
  <si>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</si>
  <si>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</si>
  <si>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</si>
  <si>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</si>
  <si>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</si>
  <si>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</si>
  <si>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</si>
  <si>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</si>
  <si>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</si>
  <si>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</si>
  <si>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</si>
  <si>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</si>
  <si>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</si>
  <si>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</si>
  <si>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</si>
  <si>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</si>
  <si>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</si>
  <si>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</si>
  <si>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</si>
  <si>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</si>
  <si>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</si>
  <si>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</si>
  <si>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</si>
  <si>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</si>
  <si>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</si>
  <si>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</si>
  <si>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</si>
  <si>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</si>
  <si>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</si>
  <si>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</si>
  <si>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</si>
  <si>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</si>
  <si>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</si>
  <si>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</si>
  <si>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</si>
  <si>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</si>
  <si>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</si>
  <si>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</si>
  <si>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</si>
  <si>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</si>
  <si>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</si>
  <si>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</si>
  <si>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</si>
  <si>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</si>
  <si>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</si>
  <si>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</si>
  <si>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</si>
  <si>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</si>
  <si>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</si>
  <si>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</si>
  <si>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</si>
  <si>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</si>
  <si>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</si>
  <si>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</si>
  <si>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</si>
  <si>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</si>
  <si>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</si>
  <si>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</si>
  <si>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</si>
  <si>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</si>
  <si>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</si>
  <si>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</si>
  <si>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</si>
  <si>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</si>
  <si>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</si>
  <si>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</si>
  <si>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</si>
  <si>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</si>
  <si>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</si>
  <si>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</si>
  <si>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</si>
  <si>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</si>
  <si>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</si>
  <si>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</si>
  <si>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</si>
  <si>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</si>
  <si>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</si>
  <si>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</si>
  <si>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</si>
  <si>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</si>
  <si>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</si>
  <si>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</si>
  <si>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</si>
  <si>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</si>
  <si>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</si>
  <si>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</si>
  <si>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</si>
  <si>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</si>
  <si>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</si>
  <si>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</si>
  <si>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</si>
  <si>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</si>
  <si>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</si>
  <si>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</si>
  <si>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</si>
  <si>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</si>
  <si>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</si>
  <si>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</si>
  <si>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</si>
  <si>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</si>
  <si>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</si>
  <si>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</si>
  <si>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</si>
  <si>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</si>
  <si>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</si>
  <si>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</si>
  <si>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</si>
  <si>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</si>
  <si>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</si>
  <si>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</si>
  <si>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</si>
  <si>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</si>
  <si>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</si>
  <si>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</si>
  <si>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</si>
  <si>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</si>
  <si>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</si>
  <si>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</si>
  <si>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</si>
  <si>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</si>
  <si>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</si>
  <si>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</si>
  <si>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</si>
  <si>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</si>
  <si>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</si>
  <si>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</si>
  <si>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</si>
  <si>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</si>
  <si>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</si>
  <si>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</si>
  <si>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</si>
  <si>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</si>
  <si>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</si>
  <si>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</si>
  <si>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</si>
  <si>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</si>
  <si>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</si>
  <si>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</si>
  <si>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</si>
  <si>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</si>
  <si>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</si>
  <si>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</si>
  <si>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</si>
  <si>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</si>
  <si>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</si>
  <si>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</si>
  <si>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</si>
  <si>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</si>
  <si>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</si>
  <si>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</si>
  <si>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</si>
  <si>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</si>
  <si>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</si>
  <si>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</si>
  <si>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</si>
  <si>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</si>
  <si>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</si>
  <si>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</si>
  <si>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</si>
  <si>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</si>
  <si>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</si>
  <si>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</si>
  <si>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</si>
  <si>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</si>
  <si>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</si>
  <si>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</si>
  <si>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</si>
  <si>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</si>
  <si>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</si>
  <si>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</si>
  <si>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</si>
  <si>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</si>
  <si>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</si>
  <si>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</si>
  <si>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</si>
  <si>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</si>
  <si>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</si>
  <si>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</si>
  <si>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</si>
  <si>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</si>
  <si>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</si>
  <si>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</si>
  <si>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</si>
  <si>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</si>
  <si>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</si>
  <si>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</si>
  <si>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</si>
  <si>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</si>
  <si>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</si>
  <si>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</si>
  <si>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</si>
  <si>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</si>
  <si>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</si>
  <si>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</si>
  <si>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</si>
  <si>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</si>
  <si>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</si>
  <si>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</si>
  <si>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</si>
  <si>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</si>
  <si>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</si>
  <si>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</si>
  <si>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</si>
  <si>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</si>
  <si>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</si>
  <si>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</si>
  <si>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</si>
  <si>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</si>
  <si>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</si>
  <si>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</si>
  <si>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</si>
  <si>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</si>
  <si>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</si>
  <si>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</si>
  <si>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</si>
  <si>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</si>
  <si>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</si>
  <si>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</si>
  <si>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</si>
  <si>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</si>
  <si>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</si>
  <si>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</si>
  <si>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</si>
  <si>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</si>
  <si>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</si>
  <si>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</si>
  <si>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</si>
  <si>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</si>
  <si>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</si>
  <si>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</si>
  <si>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</si>
  <si>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</si>
  <si>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</si>
  <si>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</si>
  <si>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</si>
  <si>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</si>
  <si>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</si>
  <si>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</si>
  <si>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</si>
  <si>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</si>
  <si>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</si>
  <si>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</si>
  <si>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</si>
  <si>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</si>
  <si>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</si>
  <si>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</si>
  <si>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</si>
  <si>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</si>
  <si>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</si>
  <si>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</si>
  <si>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</si>
  <si>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</si>
  <si>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</si>
  <si>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</si>
  <si>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</si>
  <si>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</si>
  <si>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</si>
  <si>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</si>
  <si>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</si>
  <si>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</si>
  <si>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</si>
  <si>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</si>
  <si>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</si>
  <si>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</si>
  <si>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</si>
  <si>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</si>
  <si>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</si>
  <si>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</si>
  <si>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</si>
  <si>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</si>
  <si>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</si>
  <si>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</si>
  <si>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</si>
  <si>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</si>
  <si>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</si>
  <si>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Цілодобово</t>
  </si>
  <si>
    <t>скошування трави</t>
  </si>
  <si>
    <t>підмітання території</t>
  </si>
  <si>
    <t>прибирання території від опалого листя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</si>
  <si>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</si>
  <si>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</si>
  <si>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</si>
  <si>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</si>
  <si>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</si>
  <si>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</si>
  <si>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Огляд обладнання системи</t>
  </si>
  <si>
    <t xml:space="preserve">обслуговування аврійною службою 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</si>
  <si>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</si>
  <si>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</si>
  <si>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</si>
  <si>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</si>
  <si>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</si>
  <si>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</si>
  <si>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</si>
  <si>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</si>
  <si>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</si>
  <si>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</si>
  <si>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</si>
  <si>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</si>
  <si>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</si>
  <si>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</si>
  <si>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</si>
  <si>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</si>
  <si>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</si>
  <si>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</si>
  <si>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</si>
  <si>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</si>
  <si>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</si>
  <si>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</si>
  <si>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</si>
  <si>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</si>
  <si>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</si>
  <si>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</si>
  <si>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</si>
  <si>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</si>
  <si>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</si>
  <si>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</si>
  <si>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</si>
  <si>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</si>
  <si>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</si>
  <si>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</si>
  <si>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</si>
  <si>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</si>
  <si>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</si>
  <si>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</si>
  <si>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</si>
  <si>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</si>
  <si>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</si>
  <si>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</si>
  <si>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</si>
  <si>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</si>
  <si>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</si>
  <si>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</si>
  <si>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</si>
  <si>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</si>
  <si>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</si>
  <si>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</si>
  <si>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</si>
  <si>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</si>
  <si>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</si>
  <si>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</si>
  <si>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</si>
  <si>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</si>
  <si>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</si>
  <si>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</si>
  <si>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</si>
  <si>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</si>
  <si>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</si>
  <si>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</si>
  <si>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</si>
  <si>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</si>
  <si>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</si>
  <si>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</si>
  <si>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</si>
  <si>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</si>
  <si>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</si>
  <si>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</si>
  <si>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</si>
  <si>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</si>
  <si>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</si>
  <si>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</si>
  <si>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</si>
  <si>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</si>
  <si>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</si>
  <si>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</si>
  <si>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</si>
  <si>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заміна перегорілої лампи (енергозберіг)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</si>
  <si>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</si>
  <si>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</si>
  <si>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</si>
  <si>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</si>
  <si>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</si>
  <si>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</si>
  <si>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</si>
  <si>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</si>
  <si>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</si>
  <si>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</si>
  <si>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</si>
  <si>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</si>
  <si>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</si>
  <si>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</si>
  <si>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</si>
  <si>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</si>
  <si>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</si>
  <si>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</si>
  <si>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</si>
  <si>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</si>
  <si>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</si>
  <si>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</si>
  <si>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</si>
  <si>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Обслуговування  вентиляційних каналів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</si>
  <si>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</si>
  <si>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</si>
  <si>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</si>
  <si>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</si>
  <si>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</si>
  <si>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</si>
  <si>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</si>
  <si>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</si>
  <si>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</si>
  <si>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</si>
  <si>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</si>
  <si>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</si>
  <si>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</si>
  <si>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</si>
  <si>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</si>
  <si>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</si>
  <si>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</si>
  <si>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</si>
  <si>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</si>
  <si>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</si>
  <si>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</si>
  <si>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</si>
  <si>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</si>
  <si>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</si>
  <si>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</si>
  <si>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</si>
  <si>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</si>
  <si>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</si>
  <si>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Труби холодного водопостачання</t>
  </si>
  <si>
    <t xml:space="preserve">Труби водовідведення 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</si>
  <si>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</si>
  <si>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</si>
  <si>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>" Технічне обслуговування системи протипожежної автоматики та димовидалення, а також інших внутрішньобудинкових інженерних систем"</t>
  </si>
  <si>
    <t>договір на обслуговування</t>
  </si>
  <si>
    <t>Технічне обслуговування систем протипожежної автоматики та димовидалення</t>
  </si>
  <si>
    <t>згідно договору</t>
  </si>
  <si>
    <t>Кількість електроенергії,що використовується для освітлення місць загального користування, живлення ліфтів</t>
  </si>
  <si>
    <t xml:space="preserve">Площа підвалу житлового будинку  </t>
  </si>
  <si>
    <t xml:space="preserve">Заробітна плата  </t>
  </si>
  <si>
    <t xml:space="preserve">Заробітна плата </t>
  </si>
  <si>
    <t>1-3-2</t>
  </si>
  <si>
    <t>Поточний ремонт внутрішньобудинкових систем:водопостачання, водовідведення, теплопостачання, електропостачання, газопостачання</t>
  </si>
  <si>
    <t xml:space="preserve">Технічне обслуговування внутрішньобудинкових систем : водопостачання, водовідведення, теплопостачання, електропостачання, газопостачання </t>
  </si>
  <si>
    <t>"Технічне обслуговування внутрішньобудинкових систем: водопостачання; водовідведення; теплопостачання;   електропостачання, газопостачання.</t>
  </si>
  <si>
    <t>Непередбачувані роботи</t>
  </si>
  <si>
    <t>1 раз на рік</t>
  </si>
  <si>
    <t>цілодобово</t>
  </si>
  <si>
    <t>4 рази на рік</t>
  </si>
  <si>
    <t xml:space="preserve">2 рази рік  </t>
  </si>
  <si>
    <t>1 раз на два роки</t>
  </si>
  <si>
    <t>обслуговування 1 раз на рік,заміна по необхідності</t>
  </si>
  <si>
    <t>1 раз на три роки</t>
  </si>
  <si>
    <t>6 разів на тиждень</t>
  </si>
  <si>
    <t>2 рази в рік</t>
  </si>
  <si>
    <t>1 раз на тиждень</t>
  </si>
  <si>
    <t>1 раз в рік</t>
  </si>
  <si>
    <t>1  раз на рік</t>
  </si>
  <si>
    <t>Поточний ремонт конструктивних елементів, технічних пристроїв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</si>
  <si>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ціна палива</t>
  </si>
  <si>
    <t>ціна масла</t>
  </si>
  <si>
    <t>Запчастини 1,48 грн./год+струна 6,86 грн/год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</si>
  <si>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2017 - 2024 рік) </t>
    </r>
  </si>
  <si>
    <t>Розрахунок середньомісячного прожиткового мінімуму в 2022 році</t>
  </si>
  <si>
    <t>Плановий орієнтовно буде введено із квітня 2022 року</t>
  </si>
  <si>
    <t>Середній розмір мінімальної заробітної плати в 2022 році</t>
  </si>
  <si>
    <t>кількість міс</t>
  </si>
  <si>
    <t>середній розмір</t>
  </si>
  <si>
    <t>Середньомісячна прожитковий мінімум відповідно до Закону України "Про державний бюджет України на 2022 рік"</t>
  </si>
  <si>
    <t>Прибирання прибудинкової території ( в т.ч. прибирання снігу, посипання частини прибудинкової території, призначеної для проходу та проїзду, протиожеледними сумішами)</t>
  </si>
  <si>
    <t>Очищення відмостки від снігу</t>
  </si>
  <si>
    <t>Заробітна плата двірника  з урахуванням  резерву на відпустку(7,34%), грн.</t>
  </si>
  <si>
    <t>Витрати на збут</t>
  </si>
  <si>
    <t>Повторюваність в рік</t>
  </si>
  <si>
    <t>Заробітна плата   з урахуванням премій та резерву на відпустку (7,34%), грн.</t>
  </si>
  <si>
    <t>35 грн за 100 гр</t>
  </si>
  <si>
    <t>Пакля ( грам)</t>
  </si>
  <si>
    <t xml:space="preserve">грн </t>
  </si>
  <si>
    <t>ремонт ліфта</t>
  </si>
  <si>
    <t>Матеріальні 
витрати</t>
  </si>
  <si>
    <t>Заробітна плата двірника  з урахуванням відпустки(7,34%), грн.</t>
  </si>
  <si>
    <t>Повторюваність (кількість прибирань) в рік</t>
  </si>
  <si>
    <t>будівельні роботи</t>
  </si>
  <si>
    <t>ВАРТІСТЬ ПОСЛУГИ з управління багатоквартирним будинком</t>
  </si>
  <si>
    <t>Винагорода управителю (рентабельність)</t>
  </si>
  <si>
    <t>" Поточний ремонт внутрішньобудинкових систем : водопостачання ; водовідведення; теплопостачання; електропостачання "</t>
  </si>
  <si>
    <t>1986</t>
  </si>
  <si>
    <t>Амортизація   0,01984 грн/м2</t>
  </si>
  <si>
    <t>ТО ліфта  8 п</t>
  </si>
  <si>
    <t xml:space="preserve">експертне обстеження ліфтів (2,3,4,5,6 під'їзд) </t>
  </si>
  <si>
    <t xml:space="preserve">Річний фонд робочого часу </t>
  </si>
  <si>
    <t xml:space="preserve">     Шевченка</t>
  </si>
  <si>
    <t xml:space="preserve">      47</t>
  </si>
  <si>
    <t xml:space="preserve">   м. Канів</t>
  </si>
  <si>
    <t>Складові витрат на утримання багатоквартирного будинку та прибудинкової території і поточний ремонт спільного майна багатоквартирного будинку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</si>
  <si>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</si>
  <si>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Поточний ремонт внутрішньобудинкових систем:водопостачання, водовідведення, теплопостачання, зливової каналізації</t>
  </si>
  <si>
    <t>ВСЬОГО витрат на утримання багатоквартирного будинку та прибудинкової території і поточний ремонт спільного майна багатоквартирного будинку</t>
  </si>
  <si>
    <t>КОШТОРИС
витрат на утримання багатоквартирного будинку та 
прибудинкової території  та поточний ремонт спільного майна</t>
  </si>
  <si>
    <t xml:space="preserve">СТРУКТУРА, ПЕРІОДИЧНІСТЬ НАДАННЯ ПОСЛУГ З  УТРИМАННЯ БАГАТОКВАРТИРНОГО БУДИНКУ ТА ПРИБУДИНКОВОЇ ТЕРИТОРІЇ І ПОТОЧНИЙ РЕМОНТ СПІЛЬНОГО МАЙНА 
</t>
  </si>
  <si>
    <t>1. Скління дерев'яних рам на сходинкових клітинах - 15 м2;
2. Ремонт покрівлі в два шари - 450 м2;
3. Фарбування дерев'яних конструкцій дитячого майданчика - 20 м2;
4. Фарбування сталевих труб ( газопровід) d 76 - 70 м2;
5. Фарбування лавочок - 25 м2</t>
  </si>
  <si>
    <t>1. Заміна труб теплопостачання d 50 в підвалі -18 мп;
2.  Заміна труб теплопостачання d 40 в підвалі -8 мп;
3.  Заміна труб теплопостачання d 76 в підвалі -13 мп;
4.  Заміна труб холодного водопостачання  d 89 в підвалі - 60 мп;
5.  Заміна труб холодного водопостачання d 50 в підвалі - 5 мп;
6.  Заміна труб холодного водовідведення d 100 в підвалі -25 мп</t>
  </si>
  <si>
    <t>Додаток 1</t>
  </si>
  <si>
    <t>до проекту договору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</si>
</sst>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603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9" fillId="0" borderId="0" xfId="0" applyFont="1"/>
    <xf numFmtId="0" fontId="1" fillId="0" borderId="0" xfId="0" applyFont="1"/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0" fontId="44" fillId="0" borderId="15" xfId="0" applyFont="1" applyBorder="1" applyAlignment="1">
      <alignment vertical="center"/>
    </xf>
    <xf numFmtId="1" fontId="21" fillId="6" borderId="1" xfId="0" applyNumberFormat="1" applyFont="1" applyFill="1" applyBorder="1" applyAlignment="1">
      <alignment horizontal="center" vertical="center" wrapText="1"/>
    </xf>
    <xf numFmtId="167" fontId="0" fillId="0" borderId="22" xfId="0" applyNumberFormat="1" applyBorder="1" applyAlignment="1" applyProtection="1">
      <alignment horizontal="right" vertical="justify"/>
      <protection locked="0"/>
    </xf>
    <xf numFmtId="0" fontId="3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34" fillId="0" borderId="1" xfId="0" applyFont="1" applyBorder="1" applyAlignment="1">
      <alignment wrapText="1"/>
    </xf>
    <xf numFmtId="167" fontId="23" fillId="0" borderId="1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center" vertical="center" wrapText="1"/>
    </xf>
    <xf numFmtId="2" fontId="31" fillId="0" borderId="4" xfId="0" applyNumberFormat="1" applyFont="1" applyBorder="1" applyAlignment="1">
      <alignment horizontal="right" vertical="center" wrapText="1"/>
    </xf>
    <xf numFmtId="0" fontId="45" fillId="0" borderId="1" xfId="0" applyFont="1" applyBorder="1" applyAlignment="1">
      <alignment vertical="top" wrapText="1"/>
    </xf>
    <xf numFmtId="164" fontId="34" fillId="0" borderId="1" xfId="0" applyNumberFormat="1" applyFont="1" applyBorder="1"/>
    <xf numFmtId="0" fontId="47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center" vertical="center"/>
    </xf>
    <xf numFmtId="2" fontId="47" fillId="0" borderId="1" xfId="0" applyNumberFormat="1" applyFont="1" applyBorder="1" applyAlignment="1">
      <alignment vertical="center" wrapText="1"/>
    </xf>
    <xf numFmtId="165" fontId="47" fillId="0" borderId="1" xfId="0" applyNumberFormat="1" applyFont="1" applyBorder="1" applyAlignment="1">
      <alignment horizontal="right" vertical="center"/>
    </xf>
    <xf numFmtId="0" fontId="47" fillId="0" borderId="1" xfId="0" applyFont="1" applyBorder="1"/>
    <xf numFmtId="2" fontId="47" fillId="0" borderId="1" xfId="0" applyNumberFormat="1" applyFont="1" applyBorder="1"/>
    <xf numFmtId="165" fontId="47" fillId="0" borderId="1" xfId="0" applyNumberFormat="1" applyFont="1" applyBorder="1"/>
    <xf numFmtId="0" fontId="47" fillId="0" borderId="1" xfId="0" applyFont="1" applyBorder="1" applyAlignment="1">
      <alignment wrapText="1"/>
    </xf>
    <xf numFmtId="2" fontId="47" fillId="0" borderId="1" xfId="0" applyNumberFormat="1" applyFont="1" applyBorder="1" applyAlignment="1">
      <alignment wrapText="1"/>
    </xf>
    <xf numFmtId="0" fontId="47" fillId="0" borderId="1" xfId="0" applyFont="1" applyBorder="1" applyAlignment="1">
      <alignment vertical="top" wrapText="1"/>
    </xf>
    <xf numFmtId="165" fontId="47" fillId="0" borderId="1" xfId="0" applyNumberFormat="1" applyFont="1" applyBorder="1" applyAlignment="1">
      <alignment vertical="center"/>
    </xf>
    <xf numFmtId="0" fontId="48" fillId="0" borderId="1" xfId="0" applyFont="1" applyBorder="1" applyAlignment="1">
      <alignment horizontal="center" vertical="center"/>
    </xf>
    <xf numFmtId="0" fontId="48" fillId="0" borderId="1" xfId="0" applyFont="1" applyBorder="1" applyAlignment="1">
      <alignment wrapText="1"/>
    </xf>
    <xf numFmtId="2" fontId="48" fillId="0" borderId="1" xfId="0" applyNumberFormat="1" applyFont="1" applyBorder="1" applyAlignment="1">
      <alignment wrapText="1"/>
    </xf>
    <xf numFmtId="165" fontId="48" fillId="0" borderId="1" xfId="0" applyNumberFormat="1" applyFont="1" applyBorder="1" applyAlignment="1">
      <alignment wrapText="1"/>
    </xf>
    <xf numFmtId="0" fontId="48" fillId="0" borderId="1" xfId="0" applyFont="1" applyBorder="1"/>
    <xf numFmtId="2" fontId="48" fillId="0" borderId="1" xfId="0" applyNumberFormat="1" applyFont="1" applyBorder="1"/>
    <xf numFmtId="165" fontId="48" fillId="0" borderId="1" xfId="0" applyNumberFormat="1" applyFont="1" applyBorder="1"/>
    <xf numFmtId="0" fontId="47" fillId="0" borderId="0" xfId="0" applyFont="1" applyAlignment="1">
      <alignment horizontal="center" vertical="center"/>
    </xf>
    <xf numFmtId="0" fontId="49" fillId="0" borderId="1" xfId="0" applyFont="1" applyBorder="1" applyAlignment="1">
      <alignment horizontal="left" vertical="center" wrapText="1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38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34" fillId="0" borderId="0" xfId="0" applyFont="1"/>
    <xf numFmtId="0" fontId="0" fillId="0" borderId="0" xfId="0"/>
    <xf numFmtId="0" fontId="3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47" fillId="0" borderId="3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0" fontId="0" fillId="0" borderId="6" xfId="0" applyBorder="1"/>
    <xf numFmtId="0" fontId="29" fillId="6" borderId="4" xfId="0" applyFont="1" applyFill="1" applyBorder="1" applyAlignment="1">
      <alignment horizontal="center" vertical="center" wrapText="1"/>
    </xf>
    <xf numFmtId="0" fontId="0" fillId="0" borderId="5" xfId="0" applyBorder="1"/>
    <xf numFmtId="2" fontId="29" fillId="0" borderId="4" xfId="0" applyNumberFormat="1" applyFont="1" applyBorder="1" applyAlignment="1">
      <alignment horizontal="center" vertical="center" wrapText="1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5" fillId="0" borderId="0" xfId="0" applyFont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0" fontId="30" fillId="0" borderId="5" xfId="0" applyFont="1" applyBorder="1" applyAlignment="1">
      <alignment horizontal="left" vertical="center" wrapText="1"/>
    </xf>
    <xf numFmtId="0" fontId="12" fillId="0" borderId="1" xfId="0" applyFont="1" applyBorder="1" applyProtection="1">
      <protection locked="0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2" fontId="30" fillId="0" borderId="4" xfId="0" applyNumberFormat="1" applyFont="1" applyBorder="1" applyAlignment="1" applyProtection="1">
      <alignment horizontal="right" vertical="center"/>
      <protection locked="0"/>
    </xf>
    <xf numFmtId="2" fontId="30" fillId="0" borderId="6" xfId="0" applyNumberFormat="1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left" wrapText="1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Q109"/>
  <sheetViews>
    <sheetView zoomScaleNormal="100" workbookViewId="0">
      <selection activeCell="J10" sqref="J10"/>
    </sheetView>
  </sheetViews>
  <sheetFormatPr defaultRowHeight="15" x14ac:dyDescent="0.25"/>
  <cols>
    <col min="8" max="8" width="9.7109375" customWidth="1"/>
  </cols>
  <sheetData>
    <row r="2" spans="1:14" x14ac:dyDescent="0.25">
      <c r="A2" s="695" t="s">
        <v>9</v>
      </c>
      <c r="B2" s="695"/>
      <c r="C2" s="695"/>
      <c r="D2" s="695"/>
      <c r="E2" s="695"/>
      <c r="F2" s="695"/>
      <c r="G2" s="695"/>
      <c r="H2" s="695"/>
      <c r="I2" s="695"/>
      <c r="J2" s="695"/>
      <c r="K2" s="695"/>
      <c r="L2" s="695"/>
      <c r="M2" s="695"/>
      <c r="N2" s="695"/>
    </row>
    <row r="3" spans="1:14" x14ac:dyDescent="0.25">
      <c r="A3" s="695"/>
      <c r="B3" s="695"/>
      <c r="C3" s="695"/>
      <c r="D3" s="695"/>
      <c r="E3" s="695"/>
      <c r="F3" s="695"/>
      <c r="G3" s="695"/>
      <c r="H3" s="695"/>
      <c r="I3" s="695"/>
      <c r="J3" s="695"/>
      <c r="K3" s="695"/>
      <c r="L3" s="695"/>
      <c r="M3" s="7"/>
      <c r="N3" s="8"/>
    </row>
    <row r="4" spans="1:14" x14ac:dyDescent="0.25">
      <c r="A4" s="9"/>
      <c r="B4" s="8"/>
      <c r="C4" s="910" t="s">
        <v>10</v>
      </c>
      <c r="D4" s="911"/>
      <c r="E4" s="911"/>
      <c r="F4" s="911"/>
      <c r="G4" s="911"/>
      <c r="H4" s="911"/>
      <c r="I4" s="911"/>
      <c r="J4" s="911"/>
      <c r="K4" s="911"/>
      <c r="L4" s="911"/>
      <c r="M4" s="911"/>
      <c r="N4" s="911"/>
    </row>
    <row r="5" spans="1:14" x14ac:dyDescent="0.25">
      <c r="A5" s="8"/>
      <c r="B5" s="8"/>
      <c r="C5" s="912"/>
      <c r="D5" s="913"/>
      <c r="E5" s="913"/>
      <c r="F5" s="913"/>
      <c r="G5" s="913"/>
      <c r="H5" s="913"/>
      <c r="I5" s="913"/>
      <c r="J5" s="913"/>
      <c r="K5" s="913"/>
      <c r="L5" s="913"/>
      <c r="M5" s="913"/>
      <c r="N5" s="913"/>
    </row>
    <row r="6" spans="1:14" x14ac:dyDescent="0.25">
      <c r="A6" s="8" t="s">
        <v>11</v>
      </c>
      <c r="B6" s="9" t="s">
        <v>997</v>
      </c>
      <c r="C6" s="10"/>
      <c r="D6" s="11" t="s">
        <v>12</v>
      </c>
      <c r="E6" s="914" t="s">
        <v>995</v>
      </c>
      <c r="F6" s="914"/>
      <c r="G6" s="914"/>
      <c r="H6" s="914"/>
      <c r="I6" s="914"/>
      <c r="J6" s="914"/>
      <c r="K6" s="11" t="s">
        <v>13</v>
      </c>
      <c r="L6" s="12" t="s">
        <v>996</v>
      </c>
      <c r="M6" s="11"/>
      <c r="N6" s="8"/>
    </row>
    <row r="7" spans="1:14" x14ac:dyDescent="0.25">
      <c r="A7" s="8"/>
      <c r="B7" s="11"/>
      <c r="C7" s="8"/>
      <c r="D7" s="8"/>
      <c r="E7" s="8"/>
      <c r="F7" s="8"/>
      <c r="G7" s="8"/>
      <c r="H7" s="8"/>
      <c r="I7" s="8"/>
      <c r="J7" s="11"/>
      <c r="K7" s="8"/>
      <c r="L7" s="11"/>
      <c r="M7" s="8"/>
      <c r="N7" s="8"/>
    </row>
    <row r="8" spans="1:14" ht="28.9" customHeight="1" x14ac:dyDescent="0.25">
      <c r="A8" s="915" t="s">
        <v>14</v>
      </c>
      <c r="B8" s="779"/>
      <c r="C8" s="779"/>
      <c r="D8" s="915" t="s">
        <v>15</v>
      </c>
      <c r="E8" s="916"/>
      <c r="F8" s="916"/>
      <c r="G8" s="111"/>
      <c r="H8" s="112"/>
      <c r="I8" s="105"/>
      <c r="J8" s="113"/>
      <c r="K8" s="106"/>
      <c r="L8" s="111"/>
      <c r="M8" s="114"/>
      <c r="N8" s="114"/>
    </row>
    <row r="9" spans="1:14" x14ac:dyDescent="0.25">
      <c r="A9" s="906" t="s">
        <v>990</v>
      </c>
      <c r="B9" s="907"/>
      <c r="C9" s="908"/>
      <c r="D9" s="909"/>
      <c r="E9" s="909"/>
      <c r="F9" s="909"/>
      <c r="G9" s="107"/>
      <c r="H9" s="107"/>
      <c r="I9" s="107"/>
      <c r="J9" s="107"/>
      <c r="K9" s="108"/>
      <c r="L9" s="109"/>
      <c r="M9" s="110"/>
      <c r="N9" s="110"/>
    </row>
    <row r="10" spans="1:14" x14ac:dyDescent="0.25">
      <c r="A10" s="17"/>
      <c r="B10" s="17"/>
      <c r="C10" s="16"/>
      <c r="D10" s="16"/>
      <c r="E10" s="16"/>
      <c r="F10" s="16"/>
      <c r="G10" s="18"/>
      <c r="H10" s="18"/>
      <c r="I10" s="16"/>
      <c r="J10" s="15"/>
      <c r="K10" s="15"/>
      <c r="L10" s="14"/>
      <c r="M10" s="14"/>
      <c r="N10" s="8"/>
    </row>
    <row r="11" spans="1:14" x14ac:dyDescent="0.25">
      <c r="A11" s="896" t="s">
        <v>102</v>
      </c>
      <c r="B11" s="902"/>
      <c r="C11" s="904" t="s">
        <v>103</v>
      </c>
      <c r="D11" s="904"/>
      <c r="E11" s="904" t="s">
        <v>104</v>
      </c>
      <c r="F11" s="904"/>
      <c r="G11" s="19" t="s">
        <v>105</v>
      </c>
      <c r="H11" s="104" t="s">
        <v>741</v>
      </c>
      <c r="I11" s="104" t="s">
        <v>740</v>
      </c>
      <c r="J11" s="8"/>
      <c r="K11" s="8"/>
      <c r="L11" s="20"/>
      <c r="M11" s="20"/>
      <c r="N11" s="21"/>
    </row>
    <row r="12" spans="1:14" x14ac:dyDescent="0.25">
      <c r="A12" s="903"/>
      <c r="B12" s="902"/>
      <c r="C12" s="905">
        <v>9</v>
      </c>
      <c r="D12" s="905"/>
      <c r="E12" s="905">
        <v>8</v>
      </c>
      <c r="F12" s="905"/>
      <c r="G12" s="22">
        <v>8</v>
      </c>
      <c r="H12" s="656">
        <v>1</v>
      </c>
      <c r="I12" s="656">
        <f>G12*H12</f>
        <v>8</v>
      </c>
      <c r="J12" s="109"/>
      <c r="K12" s="109"/>
      <c r="L12" s="20"/>
      <c r="M12" s="20"/>
      <c r="N12" s="21"/>
    </row>
    <row r="13" spans="1:14" ht="15.75" thickBot="1" x14ac:dyDescent="0.3">
      <c r="A13" s="115"/>
      <c r="B13" s="115"/>
      <c r="C13" s="116"/>
      <c r="D13" s="116"/>
      <c r="E13" s="117"/>
      <c r="F13" s="117"/>
      <c r="G13" s="117"/>
      <c r="H13" s="109"/>
      <c r="I13" s="109"/>
      <c r="J13" s="109"/>
      <c r="K13" s="109"/>
      <c r="L13" s="20"/>
      <c r="M13" s="20"/>
      <c r="N13" s="21"/>
    </row>
    <row r="14" spans="1:14" ht="81" x14ac:dyDescent="0.25">
      <c r="A14" s="926" t="s">
        <v>106</v>
      </c>
      <c r="B14" s="927"/>
      <c r="C14" s="927"/>
      <c r="D14" s="927"/>
      <c r="E14" s="927"/>
      <c r="F14" s="927"/>
      <c r="G14" s="927"/>
      <c r="H14" s="927"/>
      <c r="I14" s="928"/>
      <c r="J14" s="929" t="s">
        <v>107</v>
      </c>
      <c r="K14" s="930"/>
      <c r="L14" s="24" t="s">
        <v>108</v>
      </c>
      <c r="M14" s="24" t="s">
        <v>109</v>
      </c>
      <c r="N14" s="25" t="s">
        <v>110</v>
      </c>
    </row>
    <row r="15" spans="1:14" x14ac:dyDescent="0.25">
      <c r="A15" s="917" t="s">
        <v>111</v>
      </c>
      <c r="B15" s="827"/>
      <c r="C15" s="827"/>
      <c r="D15" s="827"/>
      <c r="E15" s="827"/>
      <c r="F15" s="827"/>
      <c r="G15" s="827"/>
      <c r="H15" s="827"/>
      <c r="I15" s="828"/>
      <c r="J15" s="931">
        <v>261</v>
      </c>
      <c r="K15" s="932"/>
      <c r="L15" s="26">
        <v>0</v>
      </c>
      <c r="M15" s="26">
        <v>0</v>
      </c>
      <c r="N15" s="27">
        <f>J15+L15+M15</f>
        <v>261</v>
      </c>
    </row>
    <row r="16" spans="1:14" x14ac:dyDescent="0.25">
      <c r="A16" s="917" t="s">
        <v>112</v>
      </c>
      <c r="B16" s="918"/>
      <c r="C16" s="918"/>
      <c r="D16" s="918"/>
      <c r="E16" s="918"/>
      <c r="F16" s="918"/>
      <c r="G16" s="918"/>
      <c r="H16" s="918"/>
      <c r="I16" s="919"/>
      <c r="J16" s="920">
        <v>14645.6</v>
      </c>
      <c r="K16" s="921"/>
      <c r="L16" s="28">
        <v>0</v>
      </c>
      <c r="M16" s="28">
        <f>62.18+12.4+252.9+3.9+3+319.4+18.1+120.8+37.5+32.79+286.38+124.9</f>
        <v>1274.25</v>
      </c>
      <c r="N16" s="29">
        <f>J16+L16+M16</f>
        <v>15919.85</v>
      </c>
    </row>
    <row r="17" spans="1:14" x14ac:dyDescent="0.25">
      <c r="A17" s="917" t="s">
        <v>113</v>
      </c>
      <c r="B17" s="827"/>
      <c r="C17" s="827"/>
      <c r="D17" s="827"/>
      <c r="E17" s="827"/>
      <c r="F17" s="827"/>
      <c r="G17" s="827"/>
      <c r="H17" s="827"/>
      <c r="I17" s="828"/>
      <c r="J17" s="920"/>
      <c r="K17" s="921"/>
      <c r="L17" s="28">
        <v>0</v>
      </c>
      <c r="M17" s="28">
        <v>0</v>
      </c>
      <c r="N17" s="29">
        <f>J17+L17+M17</f>
        <v>0</v>
      </c>
    </row>
    <row r="18" spans="1:14" ht="15.75" thickBot="1" x14ac:dyDescent="0.3">
      <c r="A18" s="922" t="s">
        <v>114</v>
      </c>
      <c r="B18" s="923"/>
      <c r="C18" s="923"/>
      <c r="D18" s="923"/>
      <c r="E18" s="923"/>
      <c r="F18" s="923"/>
      <c r="G18" s="923"/>
      <c r="H18" s="923"/>
      <c r="I18" s="923"/>
      <c r="J18" s="924"/>
      <c r="K18" s="925"/>
      <c r="L18" s="885"/>
      <c r="M18" s="886"/>
      <c r="N18" s="30">
        <f>N16</f>
        <v>15919.85</v>
      </c>
    </row>
    <row r="19" spans="1:14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</row>
    <row r="20" spans="1:14" hidden="1" x14ac:dyDescent="0.25">
      <c r="A20" s="887" t="s">
        <v>115</v>
      </c>
      <c r="B20" s="888"/>
      <c r="C20" s="888"/>
      <c r="D20" s="888"/>
      <c r="E20" s="888"/>
      <c r="F20" s="888"/>
      <c r="G20" s="888"/>
      <c r="H20" s="888"/>
      <c r="I20" s="888"/>
      <c r="J20" s="888"/>
      <c r="K20" s="888"/>
      <c r="L20" s="888"/>
      <c r="M20" s="888"/>
      <c r="N20" s="889"/>
    </row>
    <row r="21" spans="1:14" hidden="1" x14ac:dyDescent="0.25">
      <c r="A21" s="890" t="s">
        <v>17</v>
      </c>
      <c r="B21" s="891"/>
      <c r="C21" s="891"/>
      <c r="D21" s="891"/>
      <c r="E21" s="891"/>
      <c r="F21" s="892"/>
      <c r="G21" s="896" t="s">
        <v>18</v>
      </c>
      <c r="H21" s="897"/>
      <c r="I21" s="897"/>
      <c r="J21" s="896" t="s">
        <v>19</v>
      </c>
      <c r="K21" s="897"/>
      <c r="L21" s="897"/>
      <c r="M21" s="897" t="s">
        <v>16</v>
      </c>
      <c r="N21" s="898"/>
    </row>
    <row r="22" spans="1:14" hidden="1" x14ac:dyDescent="0.25">
      <c r="A22" s="893"/>
      <c r="B22" s="894"/>
      <c r="C22" s="894"/>
      <c r="D22" s="894"/>
      <c r="E22" s="894"/>
      <c r="F22" s="895"/>
      <c r="G22" s="863"/>
      <c r="H22" s="863"/>
      <c r="I22" s="863"/>
      <c r="J22" s="863">
        <v>0</v>
      </c>
      <c r="K22" s="863"/>
      <c r="L22" s="863"/>
      <c r="M22" s="863">
        <f>G22+J22</f>
        <v>0</v>
      </c>
      <c r="N22" s="899"/>
    </row>
    <row r="23" spans="1:14" hidden="1" x14ac:dyDescent="0.25">
      <c r="A23" s="872" t="s">
        <v>20</v>
      </c>
      <c r="B23" s="873"/>
      <c r="C23" s="873"/>
      <c r="D23" s="873"/>
      <c r="E23" s="873"/>
      <c r="F23" s="874"/>
      <c r="G23" s="875"/>
      <c r="H23" s="876"/>
      <c r="I23" s="877"/>
      <c r="J23" s="875"/>
      <c r="K23" s="876"/>
      <c r="L23" s="877"/>
      <c r="M23" s="28">
        <f>G23+J23</f>
        <v>0</v>
      </c>
      <c r="N23" s="32">
        <v>0</v>
      </c>
    </row>
    <row r="24" spans="1:14" hidden="1" x14ac:dyDescent="0.25">
      <c r="A24" s="878" t="s">
        <v>21</v>
      </c>
      <c r="B24" s="879"/>
      <c r="C24" s="879"/>
      <c r="D24" s="879"/>
      <c r="E24" s="879"/>
      <c r="F24" s="879"/>
      <c r="G24" s="879"/>
      <c r="H24" s="879"/>
      <c r="I24" s="879"/>
      <c r="J24" s="879"/>
      <c r="K24" s="879"/>
      <c r="L24" s="879"/>
      <c r="M24" s="28"/>
      <c r="N24" s="32">
        <v>0</v>
      </c>
    </row>
    <row r="25" spans="1:14" hidden="1" x14ac:dyDescent="0.25">
      <c r="A25" s="880" t="s">
        <v>22</v>
      </c>
      <c r="B25" s="858"/>
      <c r="C25" s="858"/>
      <c r="D25" s="858"/>
      <c r="E25" s="858"/>
      <c r="F25" s="858"/>
      <c r="G25" s="859"/>
      <c r="H25" s="881" t="s">
        <v>23</v>
      </c>
      <c r="I25" s="882"/>
      <c r="J25" s="883" t="s">
        <v>24</v>
      </c>
      <c r="K25" s="884"/>
      <c r="L25" s="33" t="s">
        <v>25</v>
      </c>
      <c r="M25" s="900" t="s">
        <v>26</v>
      </c>
      <c r="N25" s="901"/>
    </row>
    <row r="26" spans="1:14" hidden="1" x14ac:dyDescent="0.25">
      <c r="A26" s="857" t="s">
        <v>27</v>
      </c>
      <c r="B26" s="858"/>
      <c r="C26" s="858"/>
      <c r="D26" s="858"/>
      <c r="E26" s="858"/>
      <c r="F26" s="858"/>
      <c r="G26" s="859"/>
      <c r="H26" s="860">
        <v>2</v>
      </c>
      <c r="I26" s="861"/>
      <c r="J26" s="862" t="s">
        <v>28</v>
      </c>
      <c r="K26" s="862"/>
      <c r="L26" s="34"/>
      <c r="M26" s="863"/>
      <c r="N26" s="864"/>
    </row>
    <row r="27" spans="1:14" hidden="1" x14ac:dyDescent="0.25">
      <c r="A27" s="857" t="s">
        <v>29</v>
      </c>
      <c r="B27" s="858"/>
      <c r="C27" s="858"/>
      <c r="D27" s="858"/>
      <c r="E27" s="858"/>
      <c r="F27" s="858"/>
      <c r="G27" s="859"/>
      <c r="H27" s="860">
        <v>2</v>
      </c>
      <c r="I27" s="861"/>
      <c r="J27" s="862" t="s">
        <v>28</v>
      </c>
      <c r="K27" s="862"/>
      <c r="L27" s="34"/>
      <c r="M27" s="863"/>
      <c r="N27" s="864"/>
    </row>
    <row r="28" spans="1:14" hidden="1" x14ac:dyDescent="0.25">
      <c r="A28" s="857" t="s">
        <v>30</v>
      </c>
      <c r="B28" s="858"/>
      <c r="C28" s="858"/>
      <c r="D28" s="858"/>
      <c r="E28" s="858"/>
      <c r="F28" s="858"/>
      <c r="G28" s="859"/>
      <c r="H28" s="860">
        <v>2</v>
      </c>
      <c r="I28" s="861"/>
      <c r="J28" s="862" t="s">
        <v>28</v>
      </c>
      <c r="K28" s="862"/>
      <c r="L28" s="34"/>
      <c r="M28" s="863"/>
      <c r="N28" s="864"/>
    </row>
    <row r="29" spans="1:14" hidden="1" x14ac:dyDescent="0.25">
      <c r="A29" s="857" t="s">
        <v>31</v>
      </c>
      <c r="B29" s="858"/>
      <c r="C29" s="858"/>
      <c r="D29" s="858"/>
      <c r="E29" s="858"/>
      <c r="F29" s="858"/>
      <c r="G29" s="859"/>
      <c r="H29" s="860">
        <v>2</v>
      </c>
      <c r="I29" s="861"/>
      <c r="J29" s="862" t="s">
        <v>28</v>
      </c>
      <c r="K29" s="862"/>
      <c r="L29" s="34"/>
      <c r="M29" s="863"/>
      <c r="N29" s="864"/>
    </row>
    <row r="30" spans="1:14" hidden="1" x14ac:dyDescent="0.25">
      <c r="A30" s="857" t="s">
        <v>32</v>
      </c>
      <c r="B30" s="858"/>
      <c r="C30" s="858"/>
      <c r="D30" s="858"/>
      <c r="E30" s="858"/>
      <c r="F30" s="858"/>
      <c r="G30" s="859"/>
      <c r="H30" s="860">
        <v>2</v>
      </c>
      <c r="I30" s="861"/>
      <c r="J30" s="862" t="s">
        <v>28</v>
      </c>
      <c r="K30" s="862"/>
      <c r="L30" s="34"/>
      <c r="M30" s="863"/>
      <c r="N30" s="864"/>
    </row>
    <row r="31" spans="1:14" hidden="1" x14ac:dyDescent="0.25">
      <c r="A31" s="857" t="s">
        <v>33</v>
      </c>
      <c r="B31" s="858"/>
      <c r="C31" s="858"/>
      <c r="D31" s="858"/>
      <c r="E31" s="858"/>
      <c r="F31" s="858"/>
      <c r="G31" s="859"/>
      <c r="H31" s="860">
        <v>2</v>
      </c>
      <c r="I31" s="861"/>
      <c r="J31" s="862" t="s">
        <v>28</v>
      </c>
      <c r="K31" s="862"/>
      <c r="L31" s="34"/>
      <c r="M31" s="863"/>
      <c r="N31" s="864"/>
    </row>
    <row r="32" spans="1:14" hidden="1" x14ac:dyDescent="0.25">
      <c r="A32" s="857" t="s">
        <v>34</v>
      </c>
      <c r="B32" s="858"/>
      <c r="C32" s="858"/>
      <c r="D32" s="858"/>
      <c r="E32" s="858"/>
      <c r="F32" s="858"/>
      <c r="G32" s="859"/>
      <c r="H32" s="860">
        <v>2</v>
      </c>
      <c r="I32" s="861"/>
      <c r="J32" s="862" t="s">
        <v>28</v>
      </c>
      <c r="K32" s="862"/>
      <c r="L32" s="34"/>
      <c r="M32" s="863"/>
      <c r="N32" s="864"/>
    </row>
    <row r="33" spans="1:14" ht="15.75" hidden="1" thickBot="1" x14ac:dyDescent="0.3">
      <c r="A33" s="865" t="s">
        <v>35</v>
      </c>
      <c r="B33" s="866"/>
      <c r="C33" s="866"/>
      <c r="D33" s="866"/>
      <c r="E33" s="866"/>
      <c r="F33" s="866"/>
      <c r="G33" s="866"/>
      <c r="H33" s="866"/>
      <c r="I33" s="866"/>
      <c r="J33" s="866"/>
      <c r="K33" s="866"/>
      <c r="L33" s="866"/>
      <c r="M33" s="866"/>
      <c r="N33" s="867"/>
    </row>
    <row r="34" spans="1:14" hidden="1" x14ac:dyDescent="0.25">
      <c r="A34" s="868" t="s">
        <v>36</v>
      </c>
      <c r="B34" s="840"/>
      <c r="C34" s="869"/>
      <c r="D34" s="869"/>
      <c r="E34" s="840" t="s">
        <v>37</v>
      </c>
      <c r="F34" s="840"/>
      <c r="G34" s="35"/>
      <c r="H34" s="840" t="s">
        <v>38</v>
      </c>
      <c r="I34" s="840"/>
      <c r="J34" s="870"/>
      <c r="K34" s="871"/>
      <c r="L34" s="840" t="s">
        <v>39</v>
      </c>
      <c r="M34" s="840"/>
      <c r="N34" s="36"/>
    </row>
    <row r="35" spans="1:14" hidden="1" x14ac:dyDescent="0.25">
      <c r="A35" s="841" t="s">
        <v>40</v>
      </c>
      <c r="B35" s="842"/>
      <c r="C35" s="842"/>
      <c r="D35" s="842"/>
      <c r="E35" s="843"/>
      <c r="F35" s="844"/>
      <c r="G35" s="37" t="s">
        <v>41</v>
      </c>
      <c r="H35" s="845"/>
      <c r="I35" s="846"/>
      <c r="J35" s="847" t="s">
        <v>42</v>
      </c>
      <c r="K35" s="848"/>
      <c r="L35" s="848"/>
      <c r="M35" s="849"/>
      <c r="N35" s="38"/>
    </row>
    <row r="36" spans="1:14" hidden="1" x14ac:dyDescent="0.25">
      <c r="A36" s="850" t="s">
        <v>43</v>
      </c>
      <c r="B36" s="851"/>
      <c r="C36" s="852"/>
      <c r="D36" s="853"/>
      <c r="E36" s="854" t="s">
        <v>44</v>
      </c>
      <c r="F36" s="854"/>
      <c r="G36" s="855"/>
      <c r="H36" s="855"/>
      <c r="I36" s="856"/>
      <c r="J36" s="856"/>
      <c r="K36" s="856"/>
      <c r="L36" s="39"/>
      <c r="M36" s="40" t="s">
        <v>45</v>
      </c>
      <c r="N36" s="41"/>
    </row>
    <row r="37" spans="1:14" ht="15.75" hidden="1" thickBot="1" x14ac:dyDescent="0.3">
      <c r="A37" s="831" t="s">
        <v>46</v>
      </c>
      <c r="B37" s="832"/>
      <c r="C37" s="832"/>
      <c r="D37" s="833"/>
      <c r="E37" s="834">
        <v>0</v>
      </c>
      <c r="F37" s="835"/>
      <c r="G37" s="836" t="s">
        <v>47</v>
      </c>
      <c r="H37" s="832"/>
      <c r="I37" s="832"/>
      <c r="J37" s="837">
        <v>0</v>
      </c>
      <c r="K37" s="838"/>
      <c r="L37" s="839" t="s">
        <v>48</v>
      </c>
      <c r="M37" s="833"/>
      <c r="N37" s="134"/>
    </row>
    <row r="38" spans="1:14" x14ac:dyDescent="0.25">
      <c r="A38" s="694" t="s">
        <v>116</v>
      </c>
      <c r="B38" s="694"/>
      <c r="C38" s="694"/>
      <c r="D38" s="694"/>
      <c r="E38" s="694"/>
      <c r="F38" s="694"/>
      <c r="G38" s="694"/>
      <c r="H38" s="694"/>
      <c r="I38" s="694"/>
      <c r="J38" s="694"/>
      <c r="K38" s="694"/>
      <c r="L38" s="694"/>
      <c r="M38" s="694"/>
      <c r="N38" s="694"/>
    </row>
    <row r="39" spans="1:14" x14ac:dyDescent="0.25">
      <c r="A39" s="692" t="s">
        <v>117</v>
      </c>
      <c r="B39" s="692"/>
      <c r="C39" s="692"/>
      <c r="D39" s="692"/>
      <c r="E39" s="692"/>
      <c r="F39" s="692"/>
      <c r="G39" s="692"/>
      <c r="H39" s="692"/>
      <c r="I39" s="118"/>
      <c r="J39" s="118"/>
      <c r="K39" s="829"/>
      <c r="L39" s="829"/>
      <c r="M39" s="695"/>
      <c r="N39" s="830"/>
    </row>
    <row r="40" spans="1:14" x14ac:dyDescent="0.25">
      <c r="A40" s="693"/>
      <c r="B40" s="693"/>
      <c r="C40" s="693"/>
      <c r="D40" s="693"/>
      <c r="E40" s="693"/>
      <c r="F40" s="693"/>
      <c r="G40" s="693"/>
      <c r="H40" s="693"/>
      <c r="I40" s="132"/>
      <c r="J40" s="133"/>
      <c r="K40" s="119"/>
      <c r="L40" s="119"/>
      <c r="M40" s="120"/>
      <c r="N40" s="119"/>
    </row>
    <row r="41" spans="1:14" x14ac:dyDescent="0.25">
      <c r="A41" s="698" t="s">
        <v>118</v>
      </c>
      <c r="B41" s="753"/>
      <c r="C41" s="753"/>
      <c r="D41" s="753"/>
      <c r="E41" s="753"/>
      <c r="F41" s="753"/>
      <c r="G41" s="753"/>
      <c r="H41" s="42">
        <v>1854.5</v>
      </c>
      <c r="I41" s="130"/>
      <c r="J41" s="130"/>
      <c r="K41" s="121"/>
      <c r="L41" s="121"/>
      <c r="M41" s="122"/>
      <c r="N41" s="121"/>
    </row>
    <row r="42" spans="1:14" x14ac:dyDescent="0.25">
      <c r="A42" s="698" t="s">
        <v>119</v>
      </c>
      <c r="B42" s="753"/>
      <c r="C42" s="753"/>
      <c r="D42" s="753"/>
      <c r="E42" s="753"/>
      <c r="F42" s="753"/>
      <c r="G42" s="753"/>
      <c r="H42" s="42"/>
      <c r="I42" s="130"/>
      <c r="J42" s="130"/>
      <c r="K42" s="121"/>
      <c r="L42" s="121"/>
      <c r="M42" s="122"/>
      <c r="N42" s="121"/>
    </row>
    <row r="43" spans="1:14" x14ac:dyDescent="0.25">
      <c r="A43" s="698" t="s">
        <v>120</v>
      </c>
      <c r="B43" s="753"/>
      <c r="C43" s="753"/>
      <c r="D43" s="753"/>
      <c r="E43" s="753"/>
      <c r="F43" s="753"/>
      <c r="G43" s="753"/>
      <c r="H43" s="42"/>
      <c r="I43" s="130"/>
      <c r="J43" s="130"/>
      <c r="K43" s="121"/>
      <c r="L43" s="121"/>
      <c r="M43" s="122"/>
      <c r="N43" s="121"/>
    </row>
    <row r="44" spans="1:14" x14ac:dyDescent="0.25">
      <c r="A44" s="698" t="s">
        <v>121</v>
      </c>
      <c r="B44" s="753"/>
      <c r="C44" s="753"/>
      <c r="D44" s="753"/>
      <c r="E44" s="753"/>
      <c r="F44" s="753"/>
      <c r="G44" s="753"/>
      <c r="H44" s="128">
        <v>325</v>
      </c>
      <c r="I44" s="123"/>
      <c r="J44" s="123"/>
      <c r="K44" s="130"/>
      <c r="L44" s="130"/>
      <c r="M44" s="131"/>
      <c r="N44" s="123"/>
    </row>
    <row r="45" spans="1:14" x14ac:dyDescent="0.25">
      <c r="A45" s="789" t="s">
        <v>927</v>
      </c>
      <c r="B45" s="827"/>
      <c r="C45" s="827"/>
      <c r="D45" s="827"/>
      <c r="E45" s="827"/>
      <c r="F45" s="827"/>
      <c r="G45" s="828"/>
      <c r="H45" s="128">
        <v>1020</v>
      </c>
      <c r="I45" s="123"/>
      <c r="J45" s="123"/>
      <c r="K45" s="130"/>
      <c r="L45" s="130"/>
      <c r="M45" s="131"/>
      <c r="N45" s="123"/>
    </row>
    <row r="46" spans="1:14" x14ac:dyDescent="0.25">
      <c r="A46" s="789" t="s">
        <v>928</v>
      </c>
      <c r="B46" s="827"/>
      <c r="C46" s="827"/>
      <c r="D46" s="827"/>
      <c r="E46" s="827"/>
      <c r="F46" s="827"/>
      <c r="G46" s="828"/>
      <c r="H46" s="128">
        <v>653</v>
      </c>
      <c r="I46" s="123"/>
      <c r="J46" s="123"/>
      <c r="K46" s="130"/>
      <c r="L46" s="130"/>
      <c r="M46" s="131"/>
      <c r="N46" s="123"/>
    </row>
    <row r="47" spans="1:14" x14ac:dyDescent="0.25">
      <c r="A47" s="789" t="s">
        <v>929</v>
      </c>
      <c r="B47" s="827"/>
      <c r="C47" s="827"/>
      <c r="D47" s="827"/>
      <c r="E47" s="827"/>
      <c r="F47" s="827"/>
      <c r="G47" s="828"/>
      <c r="H47" s="128">
        <v>772</v>
      </c>
      <c r="I47" s="123"/>
      <c r="J47" s="123"/>
      <c r="K47" s="130"/>
      <c r="L47" s="130"/>
      <c r="M47" s="131"/>
      <c r="N47" s="123"/>
    </row>
    <row r="48" spans="1:14" x14ac:dyDescent="0.25">
      <c r="A48" s="789" t="s">
        <v>930</v>
      </c>
      <c r="B48" s="827"/>
      <c r="C48" s="827"/>
      <c r="D48" s="827"/>
      <c r="E48" s="827"/>
      <c r="F48" s="827"/>
      <c r="G48" s="828"/>
      <c r="H48" s="128">
        <v>79</v>
      </c>
      <c r="I48" s="123"/>
      <c r="J48" s="123"/>
      <c r="K48" s="130"/>
      <c r="L48" s="130"/>
      <c r="M48" s="131"/>
      <c r="N48" s="123"/>
    </row>
    <row r="49" spans="1:14" x14ac:dyDescent="0.25">
      <c r="A49" s="789" t="s">
        <v>931</v>
      </c>
      <c r="B49" s="827"/>
      <c r="C49" s="827"/>
      <c r="D49" s="827"/>
      <c r="E49" s="827"/>
      <c r="F49" s="827"/>
      <c r="G49" s="828"/>
      <c r="H49" s="128">
        <v>192</v>
      </c>
      <c r="I49" s="123"/>
      <c r="J49" s="123"/>
      <c r="K49" s="130"/>
      <c r="L49" s="130"/>
      <c r="M49" s="131"/>
      <c r="N49" s="123"/>
    </row>
    <row r="50" spans="1:14" x14ac:dyDescent="0.25">
      <c r="A50" s="650"/>
      <c r="B50" s="648"/>
      <c r="C50" s="648"/>
      <c r="D50" s="648"/>
      <c r="E50" s="648"/>
      <c r="F50" s="648"/>
      <c r="G50" s="649"/>
      <c r="H50" s="128"/>
      <c r="I50" s="123"/>
      <c r="J50" s="123"/>
      <c r="K50" s="130"/>
      <c r="L50" s="130"/>
      <c r="M50" s="131"/>
      <c r="N50" s="123"/>
    </row>
    <row r="51" spans="1:14" x14ac:dyDescent="0.25">
      <c r="A51" s="693" t="s">
        <v>122</v>
      </c>
      <c r="B51" s="693"/>
      <c r="C51" s="693"/>
      <c r="D51" s="693"/>
      <c r="E51" s="693"/>
      <c r="F51" s="693"/>
      <c r="G51" s="693"/>
      <c r="H51" s="693"/>
      <c r="I51" s="31"/>
      <c r="J51" s="31"/>
      <c r="K51" s="129"/>
      <c r="L51" s="129"/>
      <c r="M51" s="113"/>
      <c r="N51" s="106"/>
    </row>
    <row r="52" spans="1:14" x14ac:dyDescent="0.25">
      <c r="A52" s="693"/>
      <c r="B52" s="693"/>
      <c r="C52" s="693"/>
      <c r="D52" s="693"/>
      <c r="E52" s="693"/>
      <c r="F52" s="693"/>
      <c r="G52" s="693"/>
      <c r="H52" s="693"/>
      <c r="I52" s="825"/>
      <c r="J52" s="825"/>
      <c r="K52" s="124"/>
      <c r="L52" s="124"/>
      <c r="M52" s="125"/>
      <c r="N52" s="124"/>
    </row>
    <row r="53" spans="1:14" x14ac:dyDescent="0.25">
      <c r="A53" s="698" t="s">
        <v>123</v>
      </c>
      <c r="B53" s="753"/>
      <c r="C53" s="753"/>
      <c r="D53" s="753"/>
      <c r="E53" s="753"/>
      <c r="F53" s="753"/>
      <c r="G53" s="753"/>
      <c r="H53" s="42">
        <v>4138</v>
      </c>
      <c r="I53" s="826"/>
      <c r="J53" s="826"/>
      <c r="K53" s="122"/>
      <c r="L53" s="126"/>
      <c r="M53" s="127"/>
      <c r="N53" s="121"/>
    </row>
    <row r="54" spans="1:14" x14ac:dyDescent="0.25">
      <c r="A54" s="808" t="s">
        <v>124</v>
      </c>
      <c r="B54" s="809"/>
      <c r="C54" s="809"/>
      <c r="D54" s="809"/>
      <c r="E54" s="809"/>
      <c r="F54" s="809"/>
      <c r="G54" s="810"/>
      <c r="H54" s="814" t="s">
        <v>125</v>
      </c>
      <c r="I54" s="815"/>
      <c r="J54" s="815"/>
      <c r="K54" s="816"/>
      <c r="L54" s="817" t="s">
        <v>126</v>
      </c>
      <c r="M54" s="818"/>
      <c r="N54" s="819"/>
    </row>
    <row r="55" spans="1:14" ht="15.75" thickBot="1" x14ac:dyDescent="0.3">
      <c r="A55" s="811"/>
      <c r="B55" s="812"/>
      <c r="C55" s="812"/>
      <c r="D55" s="812"/>
      <c r="E55" s="812"/>
      <c r="F55" s="812"/>
      <c r="G55" s="813"/>
      <c r="H55" s="820">
        <v>0</v>
      </c>
      <c r="I55" s="821"/>
      <c r="J55" s="821"/>
      <c r="K55" s="822"/>
      <c r="L55" s="823">
        <v>3477</v>
      </c>
      <c r="M55" s="823"/>
      <c r="N55" s="824"/>
    </row>
    <row r="56" spans="1:14" x14ac:dyDescent="0.25">
      <c r="A56" s="714" t="s">
        <v>127</v>
      </c>
      <c r="B56" s="715"/>
      <c r="C56" s="715"/>
      <c r="D56" s="715"/>
      <c r="E56" s="715"/>
      <c r="F56" s="804"/>
      <c r="G56" s="43">
        <v>15</v>
      </c>
      <c r="H56" s="805" t="s">
        <v>128</v>
      </c>
      <c r="I56" s="806"/>
      <c r="J56" s="806"/>
      <c r="K56" s="806"/>
      <c r="L56" s="806"/>
      <c r="M56" s="807"/>
      <c r="N56" s="660">
        <v>24</v>
      </c>
    </row>
    <row r="57" spans="1:14" hidden="1" x14ac:dyDescent="0.25">
      <c r="A57" s="14"/>
      <c r="B57" s="14"/>
      <c r="C57" s="695" t="s">
        <v>49</v>
      </c>
      <c r="D57" s="794"/>
      <c r="E57" s="794"/>
      <c r="F57" s="794"/>
      <c r="G57" s="794"/>
      <c r="H57" s="794"/>
      <c r="I57" s="794"/>
      <c r="J57" s="794"/>
      <c r="K57" s="794"/>
      <c r="L57" s="794"/>
      <c r="M57" s="14"/>
      <c r="N57" s="8"/>
    </row>
    <row r="58" spans="1:14" ht="15.75" hidden="1" thickBot="1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8"/>
    </row>
    <row r="59" spans="1:14" ht="15.75" hidden="1" thickBot="1" x14ac:dyDescent="0.3">
      <c r="A59" s="754" t="s">
        <v>50</v>
      </c>
      <c r="B59" s="755"/>
      <c r="C59" s="755"/>
      <c r="D59" s="755"/>
      <c r="E59" s="756"/>
      <c r="F59" s="757" t="s">
        <v>51</v>
      </c>
      <c r="G59" s="758"/>
      <c r="H59" s="758"/>
      <c r="I59" s="758"/>
      <c r="J59" s="758"/>
      <c r="K59" s="760"/>
      <c r="L59" s="760"/>
      <c r="M59" s="760"/>
      <c r="N59" s="795"/>
    </row>
    <row r="60" spans="1:14" hidden="1" x14ac:dyDescent="0.25">
      <c r="A60" s="796" t="s">
        <v>52</v>
      </c>
      <c r="B60" s="797"/>
      <c r="C60" s="797"/>
      <c r="D60" s="797"/>
      <c r="E60" s="44"/>
      <c r="F60" s="798" t="s">
        <v>53</v>
      </c>
      <c r="G60" s="799"/>
      <c r="H60" s="711" t="s">
        <v>54</v>
      </c>
      <c r="I60" s="711"/>
      <c r="J60" s="45"/>
      <c r="K60" s="801" t="s">
        <v>55</v>
      </c>
      <c r="L60" s="782"/>
      <c r="M60" s="782"/>
      <c r="N60" s="46">
        <v>1360</v>
      </c>
    </row>
    <row r="61" spans="1:14" hidden="1" x14ac:dyDescent="0.25">
      <c r="A61" s="802" t="s">
        <v>56</v>
      </c>
      <c r="B61" s="803"/>
      <c r="C61" s="803"/>
      <c r="D61" s="803"/>
      <c r="E61" s="47"/>
      <c r="F61" s="800"/>
      <c r="G61" s="799"/>
      <c r="H61" s="766" t="s">
        <v>57</v>
      </c>
      <c r="I61" s="766"/>
      <c r="J61" s="48"/>
      <c r="K61" s="787" t="s">
        <v>58</v>
      </c>
      <c r="L61" s="788"/>
      <c r="M61" s="788"/>
      <c r="N61" s="46"/>
    </row>
    <row r="62" spans="1:14" hidden="1" x14ac:dyDescent="0.25">
      <c r="A62" s="789" t="s">
        <v>59</v>
      </c>
      <c r="B62" s="703"/>
      <c r="C62" s="703"/>
      <c r="D62" s="703"/>
      <c r="E62" s="49">
        <v>1</v>
      </c>
      <c r="F62" s="790" t="s">
        <v>60</v>
      </c>
      <c r="G62" s="791"/>
      <c r="H62" s="50" t="s">
        <v>61</v>
      </c>
      <c r="I62" s="23"/>
      <c r="J62" s="51"/>
      <c r="K62" s="781" t="s">
        <v>62</v>
      </c>
      <c r="L62" s="788"/>
      <c r="M62" s="788"/>
      <c r="N62" s="13">
        <v>213</v>
      </c>
    </row>
    <row r="63" spans="1:14" hidden="1" x14ac:dyDescent="0.25">
      <c r="A63" s="789" t="s">
        <v>63</v>
      </c>
      <c r="B63" s="703"/>
      <c r="C63" s="703"/>
      <c r="D63" s="703"/>
      <c r="E63" s="49"/>
      <c r="F63" s="792"/>
      <c r="G63" s="793"/>
      <c r="H63" s="50" t="s">
        <v>64</v>
      </c>
      <c r="I63" s="52"/>
      <c r="J63" s="53"/>
      <c r="K63" s="781" t="s">
        <v>65</v>
      </c>
      <c r="L63" s="782"/>
      <c r="M63" s="782"/>
      <c r="N63" s="13">
        <v>48</v>
      </c>
    </row>
    <row r="64" spans="1:14" hidden="1" x14ac:dyDescent="0.25">
      <c r="A64" s="14"/>
      <c r="B64" s="21"/>
      <c r="C64" s="21"/>
      <c r="D64" s="21"/>
      <c r="E64" s="54"/>
      <c r="F64" s="55"/>
      <c r="G64" s="55"/>
      <c r="H64" s="14"/>
      <c r="I64" s="14"/>
      <c r="J64" s="11"/>
      <c r="K64" s="781" t="s">
        <v>66</v>
      </c>
      <c r="L64" s="782"/>
      <c r="M64" s="782"/>
      <c r="N64" s="13">
        <v>2</v>
      </c>
    </row>
    <row r="65" spans="1:14" ht="15.75" hidden="1" thickBot="1" x14ac:dyDescent="0.3">
      <c r="A65" s="14"/>
      <c r="B65" s="21"/>
      <c r="C65" s="21"/>
      <c r="D65" s="21"/>
      <c r="E65" s="14"/>
      <c r="F65" s="14"/>
      <c r="G65" s="14"/>
      <c r="H65" s="14"/>
      <c r="I65" s="14"/>
      <c r="J65" s="14"/>
      <c r="K65" s="14"/>
      <c r="L65" s="14"/>
      <c r="M65" s="14"/>
      <c r="N65" s="8"/>
    </row>
    <row r="66" spans="1:14" ht="15.75" hidden="1" thickBot="1" x14ac:dyDescent="0.3">
      <c r="A66" s="754" t="s">
        <v>50</v>
      </c>
      <c r="B66" s="755"/>
      <c r="C66" s="755"/>
      <c r="D66" s="755"/>
      <c r="E66" s="755"/>
      <c r="F66" s="783" t="s">
        <v>67</v>
      </c>
      <c r="G66" s="759"/>
      <c r="H66" s="759"/>
      <c r="I66" s="759"/>
      <c r="J66" s="758"/>
      <c r="K66" s="761"/>
      <c r="L66" s="761"/>
      <c r="M66" s="761"/>
      <c r="N66" s="762"/>
    </row>
    <row r="67" spans="1:14" hidden="1" x14ac:dyDescent="0.25">
      <c r="A67" s="710" t="s">
        <v>68</v>
      </c>
      <c r="B67" s="763"/>
      <c r="C67" s="763"/>
      <c r="D67" s="764"/>
      <c r="E67" s="56"/>
      <c r="F67" s="698" t="s">
        <v>69</v>
      </c>
      <c r="G67" s="775"/>
      <c r="H67" s="775"/>
      <c r="I67" s="57">
        <v>0</v>
      </c>
      <c r="J67" s="8" t="s">
        <v>70</v>
      </c>
      <c r="K67" s="14"/>
      <c r="L67" s="14"/>
      <c r="M67" s="14"/>
      <c r="N67" s="58"/>
    </row>
    <row r="68" spans="1:14" hidden="1" x14ac:dyDescent="0.25">
      <c r="A68" s="707" t="s">
        <v>71</v>
      </c>
      <c r="B68" s="752"/>
      <c r="C68" s="752"/>
      <c r="D68" s="784"/>
      <c r="E68" s="59"/>
      <c r="F68" s="785" t="s">
        <v>72</v>
      </c>
      <c r="G68" s="786"/>
      <c r="H68" s="786"/>
      <c r="I68" s="60"/>
      <c r="J68" s="8"/>
      <c r="K68" s="14"/>
      <c r="L68" s="8"/>
      <c r="M68" s="14"/>
      <c r="N68" s="58"/>
    </row>
    <row r="69" spans="1:14" ht="15.75" hidden="1" thickBot="1" x14ac:dyDescent="0.3">
      <c r="A69" s="750" t="s">
        <v>63</v>
      </c>
      <c r="B69" s="751"/>
      <c r="C69" s="751"/>
      <c r="D69" s="751"/>
      <c r="E69" s="61"/>
      <c r="F69" s="698" t="s">
        <v>65</v>
      </c>
      <c r="G69" s="698"/>
      <c r="H69" s="698"/>
      <c r="I69" s="52" t="s">
        <v>73</v>
      </c>
      <c r="J69" s="62"/>
      <c r="K69" s="63"/>
      <c r="L69" s="62"/>
      <c r="M69" s="63"/>
      <c r="N69" s="64"/>
    </row>
    <row r="70" spans="1:14" ht="15.75" hidden="1" thickBot="1" x14ac:dyDescent="0.3">
      <c r="A70" s="14"/>
      <c r="B70" s="21"/>
      <c r="C70" s="21"/>
      <c r="D70" s="21"/>
      <c r="E70" s="14"/>
      <c r="F70" s="14"/>
      <c r="G70" s="14"/>
      <c r="H70" s="14"/>
      <c r="I70" s="14"/>
      <c r="J70" s="8"/>
      <c r="K70" s="14"/>
      <c r="L70" s="8"/>
      <c r="M70" s="14"/>
      <c r="N70" s="8"/>
    </row>
    <row r="71" spans="1:14" ht="15.75" hidden="1" thickBot="1" x14ac:dyDescent="0.3">
      <c r="A71" s="754" t="s">
        <v>50</v>
      </c>
      <c r="B71" s="755"/>
      <c r="C71" s="755"/>
      <c r="D71" s="755"/>
      <c r="E71" s="755"/>
      <c r="F71" s="757" t="s">
        <v>74</v>
      </c>
      <c r="G71" s="758"/>
      <c r="H71" s="758"/>
      <c r="I71" s="758"/>
      <c r="J71" s="758"/>
      <c r="K71" s="761"/>
      <c r="L71" s="761"/>
      <c r="M71" s="761"/>
      <c r="N71" s="762"/>
    </row>
    <row r="72" spans="1:14" hidden="1" x14ac:dyDescent="0.25">
      <c r="A72" s="710" t="s">
        <v>59</v>
      </c>
      <c r="B72" s="763"/>
      <c r="C72" s="763"/>
      <c r="D72" s="764"/>
      <c r="E72" s="56">
        <v>1</v>
      </c>
      <c r="F72" s="65" t="s">
        <v>75</v>
      </c>
      <c r="G72" s="66"/>
      <c r="H72" s="66"/>
      <c r="I72" s="66"/>
      <c r="J72" s="67">
        <v>0</v>
      </c>
      <c r="K72" s="780" t="s">
        <v>76</v>
      </c>
      <c r="L72" s="772"/>
      <c r="M72" s="772"/>
      <c r="N72" s="68">
        <v>375</v>
      </c>
    </row>
    <row r="73" spans="1:14" ht="15.75" hidden="1" thickBot="1" x14ac:dyDescent="0.3">
      <c r="A73" s="773" t="s">
        <v>77</v>
      </c>
      <c r="B73" s="774"/>
      <c r="C73" s="774"/>
      <c r="D73" s="777"/>
      <c r="E73" s="69"/>
      <c r="F73" s="778" t="s">
        <v>78</v>
      </c>
      <c r="G73" s="775"/>
      <c r="H73" s="775"/>
      <c r="I73" s="775"/>
      <c r="J73" s="70"/>
      <c r="K73" s="779" t="s">
        <v>79</v>
      </c>
      <c r="L73" s="753"/>
      <c r="M73" s="753"/>
      <c r="N73" s="46"/>
    </row>
    <row r="74" spans="1:14" hidden="1" x14ac:dyDescent="0.25">
      <c r="A74" s="14"/>
      <c r="B74" s="21"/>
      <c r="C74" s="21"/>
      <c r="D74" s="21"/>
      <c r="E74" s="54"/>
      <c r="F74" s="71"/>
      <c r="G74" s="72"/>
      <c r="H74" s="72"/>
      <c r="I74" s="72"/>
      <c r="J74" s="73"/>
      <c r="K74" s="779" t="s">
        <v>65</v>
      </c>
      <c r="L74" s="753"/>
      <c r="M74" s="753"/>
      <c r="N74" s="13">
        <v>19</v>
      </c>
    </row>
    <row r="75" spans="1:14" ht="15.75" hidden="1" thickBot="1" x14ac:dyDescent="0.3">
      <c r="A75" s="14"/>
      <c r="B75" s="21"/>
      <c r="C75" s="21"/>
      <c r="D75" s="21"/>
      <c r="E75" s="14"/>
      <c r="F75" s="14"/>
      <c r="G75" s="14"/>
      <c r="H75" s="14"/>
      <c r="I75" s="14"/>
      <c r="J75" s="8"/>
      <c r="K75" s="14"/>
      <c r="L75" s="8"/>
      <c r="M75" s="14"/>
      <c r="N75" s="8"/>
    </row>
    <row r="76" spans="1:14" ht="15.75" hidden="1" thickBot="1" x14ac:dyDescent="0.3">
      <c r="A76" s="754" t="s">
        <v>80</v>
      </c>
      <c r="B76" s="755"/>
      <c r="C76" s="755"/>
      <c r="D76" s="755"/>
      <c r="E76" s="756"/>
      <c r="F76" s="757" t="s">
        <v>81</v>
      </c>
      <c r="G76" s="761"/>
      <c r="H76" s="761"/>
      <c r="I76" s="761"/>
      <c r="J76" s="761"/>
      <c r="K76" s="761"/>
      <c r="L76" s="761"/>
      <c r="M76" s="761"/>
      <c r="N76" s="762"/>
    </row>
    <row r="77" spans="1:14" hidden="1" x14ac:dyDescent="0.25">
      <c r="A77" s="768" t="s">
        <v>82</v>
      </c>
      <c r="B77" s="769"/>
      <c r="C77" s="769"/>
      <c r="D77" s="769"/>
      <c r="E77" s="74">
        <v>1</v>
      </c>
      <c r="F77" s="711" t="s">
        <v>83</v>
      </c>
      <c r="G77" s="770"/>
      <c r="H77" s="770"/>
      <c r="I77" s="770"/>
      <c r="J77" s="75"/>
      <c r="K77" s="771" t="s">
        <v>84</v>
      </c>
      <c r="L77" s="772"/>
      <c r="M77" s="772"/>
      <c r="N77" s="68">
        <v>516</v>
      </c>
    </row>
    <row r="78" spans="1:14" ht="15.75" hidden="1" thickBot="1" x14ac:dyDescent="0.3">
      <c r="A78" s="773" t="s">
        <v>85</v>
      </c>
      <c r="B78" s="774"/>
      <c r="C78" s="774"/>
      <c r="D78" s="774"/>
      <c r="E78" s="76"/>
      <c r="F78" s="698" t="s">
        <v>86</v>
      </c>
      <c r="G78" s="775"/>
      <c r="H78" s="775"/>
      <c r="I78" s="775"/>
      <c r="J78" s="23"/>
      <c r="K78" s="776" t="s">
        <v>87</v>
      </c>
      <c r="L78" s="753"/>
      <c r="M78" s="753"/>
      <c r="N78" s="13"/>
    </row>
    <row r="79" spans="1:14" ht="15.75" hidden="1" thickBot="1" x14ac:dyDescent="0.3">
      <c r="A79" s="750"/>
      <c r="B79" s="751"/>
      <c r="C79" s="751"/>
      <c r="D79" s="751"/>
      <c r="E79" s="63"/>
      <c r="F79" s="77" t="s">
        <v>88</v>
      </c>
      <c r="G79" s="52"/>
      <c r="H79" s="52"/>
      <c r="I79" s="23"/>
      <c r="J79" s="23"/>
      <c r="K79" s="752" t="s">
        <v>65</v>
      </c>
      <c r="L79" s="753"/>
      <c r="M79" s="753"/>
      <c r="N79" s="13"/>
    </row>
    <row r="80" spans="1:14" ht="15.75" hidden="1" thickBot="1" x14ac:dyDescent="0.3">
      <c r="A80" s="14"/>
      <c r="B80" s="21"/>
      <c r="C80" s="21"/>
      <c r="D80" s="21"/>
      <c r="E80" s="14"/>
      <c r="F80" s="14"/>
      <c r="G80" s="14"/>
      <c r="H80" s="14"/>
      <c r="I80" s="14"/>
      <c r="J80" s="8"/>
      <c r="K80" s="14"/>
      <c r="L80" s="21"/>
      <c r="M80" s="21"/>
      <c r="N80" s="8"/>
    </row>
    <row r="81" spans="1:14" ht="15.75" hidden="1" thickBot="1" x14ac:dyDescent="0.3">
      <c r="A81" s="754" t="s">
        <v>89</v>
      </c>
      <c r="B81" s="755"/>
      <c r="C81" s="755"/>
      <c r="D81" s="755"/>
      <c r="E81" s="756"/>
      <c r="F81" s="757" t="s">
        <v>90</v>
      </c>
      <c r="G81" s="758"/>
      <c r="H81" s="758"/>
      <c r="I81" s="758"/>
      <c r="J81" s="759"/>
      <c r="K81" s="760"/>
      <c r="L81" s="760"/>
      <c r="M81" s="761"/>
      <c r="N81" s="762"/>
    </row>
    <row r="82" spans="1:14" hidden="1" x14ac:dyDescent="0.25">
      <c r="A82" s="710" t="s">
        <v>91</v>
      </c>
      <c r="B82" s="763"/>
      <c r="C82" s="763"/>
      <c r="D82" s="764"/>
      <c r="E82" s="78"/>
      <c r="F82" s="79" t="s">
        <v>92</v>
      </c>
      <c r="G82" s="80"/>
      <c r="H82" s="81" t="s">
        <v>93</v>
      </c>
      <c r="I82" s="82" t="s">
        <v>94</v>
      </c>
      <c r="J82" s="83"/>
      <c r="K82" s="83"/>
      <c r="L82" s="84"/>
      <c r="M82" s="85" t="s">
        <v>95</v>
      </c>
      <c r="N82" s="86">
        <v>30</v>
      </c>
    </row>
    <row r="83" spans="1:14" ht="15.75" hidden="1" thickBot="1" x14ac:dyDescent="0.3">
      <c r="A83" s="765" t="s">
        <v>96</v>
      </c>
      <c r="B83" s="766"/>
      <c r="C83" s="766"/>
      <c r="D83" s="767"/>
      <c r="E83" s="652"/>
      <c r="F83" s="653" t="s">
        <v>97</v>
      </c>
      <c r="G83" s="654"/>
      <c r="H83" s="87">
        <v>1</v>
      </c>
      <c r="I83" s="88" t="s">
        <v>98</v>
      </c>
      <c r="J83" s="89"/>
      <c r="K83" s="90"/>
      <c r="L83" s="89"/>
      <c r="M83" s="91"/>
      <c r="N83" s="92"/>
    </row>
    <row r="84" spans="1:14" x14ac:dyDescent="0.25">
      <c r="A84" s="698" t="s">
        <v>932</v>
      </c>
      <c r="B84" s="698"/>
      <c r="C84" s="698"/>
      <c r="D84" s="698"/>
      <c r="E84" s="698"/>
      <c r="F84" s="698"/>
      <c r="G84" s="655">
        <v>72</v>
      </c>
      <c r="H84" s="135"/>
      <c r="I84" s="71"/>
      <c r="J84" s="136"/>
      <c r="K84" s="71"/>
      <c r="L84" s="136"/>
      <c r="M84" s="71"/>
      <c r="N84" s="137"/>
    </row>
    <row r="85" spans="1:14" x14ac:dyDescent="0.25">
      <c r="A85" s="738" t="s">
        <v>134</v>
      </c>
      <c r="B85" s="739"/>
      <c r="C85" s="739"/>
      <c r="D85" s="739"/>
      <c r="E85" s="739"/>
      <c r="F85" s="739"/>
      <c r="G85" s="739"/>
      <c r="H85" s="739"/>
      <c r="I85" s="739"/>
      <c r="J85" s="739"/>
      <c r="K85" s="739"/>
      <c r="L85" s="138">
        <v>1.4</v>
      </c>
      <c r="M85" s="740"/>
      <c r="N85" s="740"/>
    </row>
    <row r="86" spans="1:14" ht="15.75" thickBot="1" x14ac:dyDescent="0.3">
      <c r="A86" s="741" t="s">
        <v>135</v>
      </c>
      <c r="B86" s="742"/>
      <c r="C86" s="742"/>
      <c r="D86" s="742"/>
      <c r="E86" s="742"/>
      <c r="F86" s="742"/>
      <c r="G86" s="743"/>
      <c r="H86" s="744" t="s">
        <v>136</v>
      </c>
      <c r="I86" s="745"/>
      <c r="J86" s="745"/>
      <c r="K86" s="745"/>
      <c r="L86" s="94">
        <v>2430</v>
      </c>
      <c r="M86" s="93"/>
      <c r="N86" s="94"/>
    </row>
    <row r="87" spans="1:14" ht="15.75" thickBot="1" x14ac:dyDescent="0.3">
      <c r="A87" s="746" t="s">
        <v>129</v>
      </c>
      <c r="B87" s="747"/>
      <c r="C87" s="747"/>
      <c r="D87" s="747"/>
      <c r="E87" s="747"/>
      <c r="F87" s="747"/>
      <c r="G87" s="748"/>
      <c r="H87" s="746" t="s">
        <v>131</v>
      </c>
      <c r="I87" s="747"/>
      <c r="J87" s="747"/>
      <c r="K87" s="747"/>
      <c r="L87" s="747"/>
      <c r="M87" s="747"/>
      <c r="N87" s="749"/>
    </row>
    <row r="88" spans="1:14" x14ac:dyDescent="0.25">
      <c r="A88" s="714" t="s">
        <v>130</v>
      </c>
      <c r="B88" s="715"/>
      <c r="C88" s="715"/>
      <c r="D88" s="715"/>
      <c r="E88" s="716"/>
      <c r="F88" s="95">
        <v>0</v>
      </c>
      <c r="G88" s="96"/>
      <c r="H88" s="717" t="s">
        <v>132</v>
      </c>
      <c r="I88" s="718"/>
      <c r="J88" s="718"/>
      <c r="K88" s="718"/>
      <c r="L88" s="718"/>
      <c r="M88" s="719"/>
      <c r="N88" s="97"/>
    </row>
    <row r="89" spans="1:14" ht="15.75" thickBot="1" x14ac:dyDescent="0.3">
      <c r="A89" s="720"/>
      <c r="B89" s="721"/>
      <c r="C89" s="721"/>
      <c r="D89" s="721"/>
      <c r="E89" s="722"/>
      <c r="F89" s="98"/>
      <c r="G89" s="62"/>
      <c r="H89" s="99" t="s">
        <v>133</v>
      </c>
      <c r="I89" s="62"/>
      <c r="J89" s="62"/>
      <c r="K89" s="62"/>
      <c r="L89" s="62"/>
      <c r="M89" s="100"/>
      <c r="N89" s="101">
        <f>J15</f>
        <v>261</v>
      </c>
    </row>
    <row r="90" spans="1:14" x14ac:dyDescent="0.25">
      <c r="A90" s="14"/>
      <c r="B90" s="14"/>
      <c r="C90" s="14"/>
      <c r="D90" s="14"/>
      <c r="E90" s="14"/>
      <c r="F90" s="8"/>
      <c r="G90" s="8"/>
      <c r="H90" s="8"/>
      <c r="I90" s="8"/>
      <c r="J90" s="14"/>
      <c r="K90" s="14"/>
      <c r="L90" s="8"/>
      <c r="M90" s="14"/>
      <c r="N90" s="8" t="s">
        <v>100</v>
      </c>
    </row>
    <row r="91" spans="1:14" ht="15.75" thickBot="1" x14ac:dyDescent="0.3">
      <c r="A91" s="102" t="s">
        <v>137</v>
      </c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8"/>
    </row>
    <row r="92" spans="1:14" x14ac:dyDescent="0.25">
      <c r="A92" s="723" t="s">
        <v>138</v>
      </c>
      <c r="B92" s="724"/>
      <c r="C92" s="724"/>
      <c r="D92" s="724"/>
      <c r="E92" s="725"/>
      <c r="F92" s="729" t="s">
        <v>139</v>
      </c>
      <c r="G92" s="730"/>
      <c r="H92" s="730"/>
      <c r="I92" s="730"/>
      <c r="J92" s="731"/>
      <c r="K92" s="732"/>
      <c r="L92" s="14"/>
      <c r="M92" s="14"/>
      <c r="N92" s="8"/>
    </row>
    <row r="93" spans="1:14" ht="15.75" thickBot="1" x14ac:dyDescent="0.3">
      <c r="A93" s="726"/>
      <c r="B93" s="727"/>
      <c r="C93" s="727"/>
      <c r="D93" s="727"/>
      <c r="E93" s="728"/>
      <c r="F93" s="733" t="s">
        <v>143</v>
      </c>
      <c r="G93" s="734"/>
      <c r="H93" s="735" t="s">
        <v>144</v>
      </c>
      <c r="I93" s="736"/>
      <c r="J93" s="736"/>
      <c r="K93" s="737"/>
      <c r="L93" s="14"/>
      <c r="M93" s="14"/>
      <c r="N93" s="8"/>
    </row>
    <row r="94" spans="1:14" x14ac:dyDescent="0.25">
      <c r="A94" s="710" t="s">
        <v>140</v>
      </c>
      <c r="B94" s="711"/>
      <c r="C94" s="711"/>
      <c r="D94" s="711"/>
      <c r="E94" s="711"/>
      <c r="F94" s="712"/>
      <c r="G94" s="712"/>
      <c r="H94" s="712"/>
      <c r="I94" s="712"/>
      <c r="J94" s="712"/>
      <c r="K94" s="713"/>
      <c r="L94" s="14"/>
      <c r="M94" s="14"/>
      <c r="N94" s="8"/>
    </row>
    <row r="95" spans="1:14" x14ac:dyDescent="0.25">
      <c r="A95" s="707" t="s">
        <v>141</v>
      </c>
      <c r="B95" s="698"/>
      <c r="C95" s="698"/>
      <c r="D95" s="698"/>
      <c r="E95" s="698"/>
      <c r="F95" s="708"/>
      <c r="G95" s="708"/>
      <c r="H95" s="708"/>
      <c r="I95" s="708"/>
      <c r="J95" s="708"/>
      <c r="K95" s="709"/>
      <c r="L95" s="14"/>
      <c r="M95" s="14"/>
      <c r="N95" s="8"/>
    </row>
    <row r="96" spans="1:14" x14ac:dyDescent="0.25">
      <c r="A96" s="707" t="s">
        <v>142</v>
      </c>
      <c r="B96" s="698"/>
      <c r="C96" s="698"/>
      <c r="D96" s="698"/>
      <c r="E96" s="698"/>
      <c r="F96" s="708"/>
      <c r="G96" s="708"/>
      <c r="H96" s="708"/>
      <c r="I96" s="708"/>
      <c r="J96" s="708"/>
      <c r="K96" s="709"/>
      <c r="L96" s="14"/>
      <c r="M96" s="14"/>
      <c r="N96" s="8"/>
    </row>
    <row r="97" spans="1:17" x14ac:dyDescent="0.25">
      <c r="A97" s="14"/>
      <c r="B97" s="14"/>
      <c r="C97" s="14"/>
      <c r="D97" s="14"/>
      <c r="E97" s="14"/>
      <c r="F97" s="597"/>
      <c r="G97" s="597"/>
      <c r="H97" s="597"/>
      <c r="I97" s="597"/>
      <c r="J97" s="597"/>
      <c r="K97" s="597"/>
      <c r="L97" s="14"/>
      <c r="M97" s="14"/>
      <c r="N97" s="8"/>
    </row>
    <row r="98" spans="1:17" x14ac:dyDescent="0.25">
      <c r="A98" s="14"/>
      <c r="B98" s="14"/>
      <c r="C98" s="14"/>
      <c r="D98" s="14"/>
      <c r="E98" s="14"/>
      <c r="F98" s="597"/>
      <c r="G98" s="597"/>
      <c r="H98" s="597"/>
      <c r="I98" s="597"/>
      <c r="J98" s="597"/>
      <c r="K98" s="597"/>
      <c r="L98" s="14"/>
      <c r="M98" s="14"/>
      <c r="N98" s="8"/>
    </row>
    <row r="99" spans="1:17" x14ac:dyDescent="0.25">
      <c r="A99" s="14"/>
      <c r="B99" s="14"/>
      <c r="C99" s="14"/>
      <c r="D99" s="14"/>
      <c r="E99" s="14"/>
      <c r="F99" s="597"/>
      <c r="G99" s="597"/>
      <c r="H99" s="597"/>
      <c r="I99" s="597"/>
      <c r="J99" s="597"/>
      <c r="K99" s="597"/>
      <c r="L99" s="14"/>
      <c r="M99" s="14"/>
      <c r="N99" s="8"/>
    </row>
    <row r="100" spans="1:17" x14ac:dyDescent="0.2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8"/>
    </row>
    <row r="101" spans="1:17" x14ac:dyDescent="0.25">
      <c r="A101" s="102" t="s">
        <v>145</v>
      </c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8"/>
    </row>
    <row r="102" spans="1:17" x14ac:dyDescent="0.25">
      <c r="A102" s="102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8"/>
    </row>
    <row r="103" spans="1:17" x14ac:dyDescent="0.25">
      <c r="A103" s="701" t="s">
        <v>146</v>
      </c>
      <c r="B103" s="702"/>
      <c r="C103" s="702"/>
      <c r="D103" s="702"/>
      <c r="E103" s="702"/>
      <c r="F103" s="702"/>
      <c r="G103" s="702"/>
      <c r="H103" s="702"/>
      <c r="I103" s="703"/>
      <c r="J103" s="703"/>
      <c r="K103" s="703"/>
      <c r="L103" s="704"/>
      <c r="M103" s="705" t="s">
        <v>147</v>
      </c>
      <c r="N103" s="706"/>
    </row>
    <row r="104" spans="1:17" x14ac:dyDescent="0.25">
      <c r="A104" s="52" t="s">
        <v>148</v>
      </c>
      <c r="B104" s="103"/>
      <c r="C104" s="103"/>
      <c r="D104" s="103"/>
      <c r="E104" s="103"/>
      <c r="F104" s="103"/>
      <c r="G104" s="103"/>
      <c r="H104" s="103"/>
      <c r="I104" s="104"/>
      <c r="J104" s="52"/>
      <c r="K104" s="52"/>
      <c r="L104" s="52"/>
      <c r="M104" s="697">
        <f>2.4/12</f>
        <v>0.19999999999999998</v>
      </c>
      <c r="N104" s="697"/>
      <c r="Q104">
        <v>2.4</v>
      </c>
    </row>
    <row r="105" spans="1:17" x14ac:dyDescent="0.25">
      <c r="A105" s="698" t="s">
        <v>149</v>
      </c>
      <c r="B105" s="699"/>
      <c r="C105" s="699"/>
      <c r="D105" s="699"/>
      <c r="E105" s="699"/>
      <c r="F105" s="699"/>
      <c r="G105" s="699"/>
      <c r="H105" s="699"/>
      <c r="I105" s="699"/>
      <c r="J105" s="699"/>
      <c r="K105" s="699"/>
      <c r="L105" s="699"/>
      <c r="M105" s="700"/>
      <c r="N105" s="700"/>
    </row>
    <row r="106" spans="1:17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21"/>
    </row>
    <row r="107" spans="1:17" x14ac:dyDescent="0.25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1:17" x14ac:dyDescent="0.25">
      <c r="A108" s="10"/>
      <c r="B108" s="10"/>
      <c r="C108" s="10"/>
      <c r="D108" s="10" t="s">
        <v>99</v>
      </c>
      <c r="E108" s="10"/>
      <c r="F108" s="10"/>
      <c r="G108" s="696" t="s">
        <v>100</v>
      </c>
      <c r="H108" s="696"/>
      <c r="I108" s="696"/>
      <c r="J108" s="691"/>
      <c r="K108" s="691"/>
      <c r="L108" s="691"/>
      <c r="M108" s="691"/>
      <c r="N108" s="10"/>
    </row>
    <row r="109" spans="1:17" x14ac:dyDescent="0.25">
      <c r="A109" s="10"/>
      <c r="B109" s="10"/>
      <c r="C109" s="10"/>
      <c r="D109" s="10" t="s">
        <v>101</v>
      </c>
      <c r="E109" s="10"/>
      <c r="F109" s="10"/>
      <c r="G109" s="690"/>
      <c r="H109" s="690"/>
      <c r="I109" s="690"/>
      <c r="J109" s="691"/>
      <c r="K109" s="691"/>
      <c r="L109" s="691"/>
      <c r="M109" s="691"/>
      <c r="N109" s="10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L144"/>
  <sheetViews>
    <sheetView view="pageBreakPreview" topLeftCell="A122" zoomScale="86" zoomScaleNormal="100" zoomScaleSheetLayoutView="86" workbookViewId="0">
      <selection activeCell="H144" sqref="H144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187" t="str">
        <f>CONCATENATE(кошторис!B4)</f>
        <v xml:space="preserve">   м. Канів     Шевченка      47</v>
      </c>
      <c r="B1" s="1188"/>
      <c r="C1" s="1188"/>
      <c r="D1" s="939"/>
      <c r="E1" s="939"/>
      <c r="H1" s="1189" t="s">
        <v>204</v>
      </c>
      <c r="I1" s="1189"/>
      <c r="J1" s="1189"/>
      <c r="K1" s="1189"/>
    </row>
    <row r="2" spans="1:11" x14ac:dyDescent="0.25">
      <c r="H2" s="1189" t="str">
        <f>прибирання!G2</f>
        <v xml:space="preserve">директор </v>
      </c>
      <c r="I2" s="1189"/>
      <c r="J2" s="1189"/>
      <c r="K2" s="1189"/>
    </row>
    <row r="3" spans="1:11" x14ac:dyDescent="0.25">
      <c r="H3" s="1193" t="s">
        <v>619</v>
      </c>
      <c r="I3" s="1193"/>
      <c r="J3" s="1193"/>
      <c r="K3" s="1193"/>
    </row>
    <row r="4" spans="1:11" x14ac:dyDescent="0.25">
      <c r="H4" s="241"/>
      <c r="I4" s="242"/>
      <c r="J4" s="1190" t="s">
        <v>283</v>
      </c>
      <c r="K4" s="1190"/>
    </row>
    <row r="6" spans="1:11" x14ac:dyDescent="0.25">
      <c r="A6" s="1191" t="s">
        <v>287</v>
      </c>
      <c r="B6" s="1191"/>
      <c r="C6" s="1191"/>
      <c r="D6" s="1191"/>
      <c r="E6" s="1191"/>
      <c r="F6" s="1191"/>
      <c r="G6" s="1191"/>
      <c r="H6" s="1191"/>
      <c r="I6" s="1191"/>
      <c r="J6" s="1191"/>
    </row>
    <row r="7" spans="1:11" ht="43.15" customHeight="1" x14ac:dyDescent="0.25">
      <c r="A7" s="1382" t="s">
        <v>948</v>
      </c>
      <c r="B7" s="1382"/>
      <c r="C7" s="1382"/>
      <c r="D7" s="1382"/>
      <c r="E7" s="1382"/>
      <c r="F7" s="1382"/>
      <c r="G7" s="1382"/>
      <c r="H7" s="1382"/>
      <c r="I7" s="1382"/>
      <c r="J7" s="1382"/>
      <c r="K7" s="1382"/>
    </row>
    <row r="8" spans="1:11" x14ac:dyDescent="0.25">
      <c r="A8" s="1383" t="s">
        <v>620</v>
      </c>
      <c r="B8" s="1383"/>
      <c r="C8" s="1383"/>
      <c r="D8" s="1383"/>
      <c r="E8" s="1383"/>
      <c r="F8" s="1383"/>
      <c r="G8" s="1383"/>
      <c r="H8" s="1383"/>
      <c r="I8" s="1383"/>
      <c r="J8" s="1383"/>
      <c r="K8" s="1383"/>
    </row>
    <row r="9" spans="1:11" ht="25.5" x14ac:dyDescent="0.25">
      <c r="A9" s="173" t="s">
        <v>220</v>
      </c>
      <c r="B9" s="1184" t="s">
        <v>207</v>
      </c>
      <c r="C9" s="1185"/>
      <c r="D9" s="1185"/>
      <c r="E9" s="1185"/>
      <c r="F9" s="1185"/>
      <c r="G9" s="173" t="s">
        <v>208</v>
      </c>
      <c r="H9" s="1184" t="s">
        <v>209</v>
      </c>
      <c r="I9" s="1185"/>
      <c r="J9" s="1380" t="s">
        <v>487</v>
      </c>
      <c r="K9" s="1381"/>
    </row>
    <row r="10" spans="1:11" ht="16.149999999999999" customHeight="1" x14ac:dyDescent="0.25">
      <c r="A10" s="173">
        <v>1</v>
      </c>
      <c r="B10" s="1194" t="s">
        <v>944</v>
      </c>
      <c r="C10" s="1171"/>
      <c r="D10" s="1171"/>
      <c r="E10" s="1171"/>
      <c r="F10" s="1171"/>
      <c r="G10" s="250" t="s">
        <v>172</v>
      </c>
      <c r="H10" s="1196">
        <f t="shared" ref="H10:H15" si="0">J10*12</f>
        <v>90972.096663439937</v>
      </c>
      <c r="I10" s="1197"/>
      <c r="J10" s="1196">
        <f>J117+J118</f>
        <v>7581.0080552866621</v>
      </c>
      <c r="K10" s="1198"/>
    </row>
    <row r="11" spans="1:11" ht="32.450000000000003" customHeight="1" x14ac:dyDescent="0.25">
      <c r="A11" s="173">
        <v>2</v>
      </c>
      <c r="B11" s="1199" t="s">
        <v>621</v>
      </c>
      <c r="C11" s="1200"/>
      <c r="D11" s="1200"/>
      <c r="E11" s="1200"/>
      <c r="F11" s="1200"/>
      <c r="G11" s="250" t="s">
        <v>172</v>
      </c>
      <c r="H11" s="1196">
        <f t="shared" si="0"/>
        <v>20013.861265956788</v>
      </c>
      <c r="I11" s="1197"/>
      <c r="J11" s="1196">
        <f>J10*розрахунок!D40/100</f>
        <v>1667.8217721630656</v>
      </c>
      <c r="K11" s="1198"/>
    </row>
    <row r="12" spans="1:11" x14ac:dyDescent="0.25">
      <c r="A12" s="173">
        <v>3</v>
      </c>
      <c r="B12" s="1194" t="s">
        <v>486</v>
      </c>
      <c r="C12" s="1195"/>
      <c r="D12" s="1195"/>
      <c r="E12" s="1195"/>
      <c r="F12" s="1195"/>
      <c r="G12" s="250" t="s">
        <v>172</v>
      </c>
      <c r="H12" s="1196">
        <f t="shared" si="0"/>
        <v>109048.4366078898</v>
      </c>
      <c r="I12" s="1197"/>
      <c r="J12" s="1196">
        <f>K126</f>
        <v>9087.3697173241508</v>
      </c>
      <c r="K12" s="1198"/>
    </row>
    <row r="13" spans="1:11" x14ac:dyDescent="0.25">
      <c r="A13" s="173">
        <v>4</v>
      </c>
      <c r="B13" s="1194" t="s">
        <v>622</v>
      </c>
      <c r="C13" s="1195"/>
      <c r="D13" s="1195"/>
      <c r="E13" s="1195"/>
      <c r="F13" s="1195"/>
      <c r="G13" s="250" t="s">
        <v>172</v>
      </c>
      <c r="H13" s="1196">
        <f t="shared" si="0"/>
        <v>26815.800000000003</v>
      </c>
      <c r="I13" s="1197"/>
      <c r="J13" s="1196">
        <f>ROUND(інвентар!I10+інвентар!I11+H141+I144,2)</f>
        <v>2234.65</v>
      </c>
      <c r="K13" s="1198"/>
    </row>
    <row r="14" spans="1:11" x14ac:dyDescent="0.25">
      <c r="A14" s="173">
        <v>5</v>
      </c>
      <c r="B14" s="1194" t="s">
        <v>474</v>
      </c>
      <c r="C14" s="1195"/>
      <c r="D14" s="1195"/>
      <c r="E14" s="1195"/>
      <c r="F14" s="1195"/>
      <c r="G14" s="250" t="s">
        <v>172</v>
      </c>
      <c r="H14" s="1196">
        <f t="shared" si="0"/>
        <v>0</v>
      </c>
      <c r="I14" s="1197"/>
      <c r="J14" s="1201">
        <v>0</v>
      </c>
      <c r="K14" s="1202"/>
    </row>
    <row r="15" spans="1:11" ht="16.149999999999999" customHeight="1" x14ac:dyDescent="0.25">
      <c r="A15" s="173">
        <v>6</v>
      </c>
      <c r="B15" s="1288" t="s">
        <v>488</v>
      </c>
      <c r="C15" s="1390"/>
      <c r="D15" s="1390"/>
      <c r="E15" s="1390"/>
      <c r="F15" s="1391"/>
      <c r="G15" s="250" t="s">
        <v>172</v>
      </c>
      <c r="H15" s="1196">
        <f t="shared" si="0"/>
        <v>190904.04</v>
      </c>
      <c r="I15" s="1197"/>
      <c r="J15" s="1201">
        <f>ROUND(розрахунок!D52*Характеристика!N18,2)</f>
        <v>15908.67</v>
      </c>
      <c r="K15" s="1392"/>
    </row>
    <row r="16" spans="1:11" ht="15.6" customHeight="1" x14ac:dyDescent="0.25">
      <c r="A16" s="173">
        <v>7</v>
      </c>
      <c r="B16" s="1203" t="s">
        <v>211</v>
      </c>
      <c r="C16" s="1204"/>
      <c r="D16" s="1204"/>
      <c r="E16" s="1204"/>
      <c r="F16" s="1204"/>
      <c r="G16" s="173" t="s">
        <v>172</v>
      </c>
      <c r="H16" s="1205">
        <f>SUM(H10:H15)</f>
        <v>437754.23453728657</v>
      </c>
      <c r="I16" s="1206"/>
      <c r="J16" s="1205">
        <f>SUM(J10:J15)</f>
        <v>36479.519544773881</v>
      </c>
      <c r="K16" s="1206"/>
    </row>
    <row r="17" spans="1:11" x14ac:dyDescent="0.25">
      <c r="A17" s="173">
        <v>8</v>
      </c>
      <c r="B17" s="1377" t="s">
        <v>114</v>
      </c>
      <c r="C17" s="1378"/>
      <c r="D17" s="1378"/>
      <c r="E17" s="1378"/>
      <c r="F17" s="1378"/>
      <c r="G17" s="250" t="s">
        <v>213</v>
      </c>
      <c r="H17" s="1201">
        <f>Характеристика!N18</f>
        <v>15919.85</v>
      </c>
      <c r="I17" s="1379"/>
      <c r="J17" s="1379"/>
      <c r="K17" s="1287"/>
    </row>
    <row r="18" spans="1:11" x14ac:dyDescent="0.25">
      <c r="A18" s="173">
        <v>9</v>
      </c>
      <c r="B18" s="1203" t="s">
        <v>484</v>
      </c>
      <c r="C18" s="1185"/>
      <c r="D18" s="1185"/>
      <c r="E18" s="1185"/>
      <c r="F18" s="1185"/>
      <c r="G18" s="173" t="s">
        <v>172</v>
      </c>
      <c r="H18" s="571"/>
      <c r="I18" s="572"/>
      <c r="J18" s="492"/>
      <c r="K18" s="573">
        <f>J16/H17</f>
        <v>2.291448697366739</v>
      </c>
    </row>
    <row r="19" spans="1:11" x14ac:dyDescent="0.25">
      <c r="A19" s="411"/>
      <c r="B19" s="412"/>
      <c r="C19" s="413"/>
      <c r="D19" s="413"/>
      <c r="E19" s="413"/>
      <c r="F19" s="413"/>
      <c r="G19" s="411"/>
      <c r="H19" s="414"/>
      <c r="I19" s="414"/>
      <c r="J19" s="415"/>
      <c r="K19" s="415"/>
    </row>
    <row r="20" spans="1:11" x14ac:dyDescent="0.25">
      <c r="A20" s="1368" t="s">
        <v>489</v>
      </c>
      <c r="B20" s="1369"/>
      <c r="C20" s="1369"/>
      <c r="D20" s="1369"/>
      <c r="E20" s="1369"/>
      <c r="F20" s="1369"/>
      <c r="G20" s="1369"/>
      <c r="H20" s="1369"/>
      <c r="I20" s="1369"/>
      <c r="J20" s="1369"/>
      <c r="K20" s="1369"/>
    </row>
    <row r="21" spans="1:11" ht="39" customHeight="1" x14ac:dyDescent="0.25">
      <c r="A21" s="1370" t="s">
        <v>751</v>
      </c>
      <c r="B21" s="1371"/>
      <c r="C21" s="1371"/>
      <c r="D21" s="1371"/>
      <c r="E21" s="1371"/>
      <c r="F21" s="1371"/>
      <c r="G21" s="1371"/>
      <c r="H21" s="1371"/>
      <c r="I21" s="1371"/>
      <c r="J21" s="1371"/>
      <c r="K21" s="1371"/>
    </row>
    <row r="22" spans="1:11" ht="30" customHeight="1" x14ac:dyDescent="0.25">
      <c r="A22" s="1372" t="s">
        <v>490</v>
      </c>
      <c r="B22" s="1373"/>
      <c r="C22" s="1373"/>
      <c r="D22" s="1373"/>
      <c r="E22" s="1373"/>
      <c r="F22" s="1373"/>
      <c r="G22" s="1373"/>
      <c r="H22" s="1373"/>
      <c r="I22" s="1373"/>
      <c r="J22" s="1373"/>
      <c r="K22" s="1373"/>
    </row>
    <row r="23" spans="1:11" x14ac:dyDescent="0.25">
      <c r="A23" s="1374" t="str">
        <f>CONCATENATE("Річний фонт робочого часу на ",[1]Расчет!C28," рік")</f>
        <v>Річний фонт робочого часу на  рік</v>
      </c>
      <c r="B23" s="1375"/>
      <c r="C23" s="1375"/>
      <c r="D23" s="1375"/>
      <c r="E23" s="1375"/>
      <c r="F23" s="1376" t="s">
        <v>491</v>
      </c>
      <c r="G23" s="1376"/>
      <c r="H23" s="416">
        <f>розрахунок!D44</f>
        <v>247</v>
      </c>
      <c r="I23" s="1376" t="s">
        <v>169</v>
      </c>
      <c r="J23" s="1376"/>
      <c r="K23" s="416">
        <f>розрахунок!D46</f>
        <v>1987</v>
      </c>
    </row>
    <row r="24" spans="1:11" x14ac:dyDescent="0.25">
      <c r="A24" s="1266" t="s">
        <v>803</v>
      </c>
      <c r="B24" s="1384"/>
      <c r="C24" s="1384"/>
      <c r="D24" s="1384"/>
      <c r="E24" s="1384"/>
      <c r="F24" s="1384"/>
      <c r="G24" s="1384"/>
      <c r="H24" s="1384"/>
      <c r="I24" s="1384"/>
      <c r="J24" s="1384"/>
      <c r="K24" s="1385"/>
    </row>
    <row r="25" spans="1:11" ht="123.75" x14ac:dyDescent="0.25">
      <c r="A25" s="182" t="s">
        <v>220</v>
      </c>
      <c r="B25" s="1238" t="s">
        <v>221</v>
      </c>
      <c r="C25" s="1239"/>
      <c r="D25" s="399" t="s">
        <v>316</v>
      </c>
      <c r="E25" s="183" t="s">
        <v>492</v>
      </c>
      <c r="F25" s="184" t="s">
        <v>493</v>
      </c>
      <c r="G25" s="1240" t="s">
        <v>494</v>
      </c>
      <c r="H25" s="1239"/>
      <c r="I25" s="185" t="s">
        <v>495</v>
      </c>
      <c r="J25" s="186" t="s">
        <v>226</v>
      </c>
      <c r="K25" s="186" t="s">
        <v>227</v>
      </c>
    </row>
    <row r="26" spans="1:11" x14ac:dyDescent="0.25">
      <c r="A26" s="417">
        <v>1</v>
      </c>
      <c r="B26" s="1364">
        <v>2</v>
      </c>
      <c r="C26" s="1365"/>
      <c r="D26" s="418">
        <v>3</v>
      </c>
      <c r="E26" s="419">
        <v>4</v>
      </c>
      <c r="F26" s="419">
        <v>5</v>
      </c>
      <c r="G26" s="1366">
        <v>6</v>
      </c>
      <c r="H26" s="1367"/>
      <c r="I26" s="419">
        <v>7</v>
      </c>
      <c r="J26" s="419">
        <v>8</v>
      </c>
      <c r="K26" s="420">
        <v>9</v>
      </c>
    </row>
    <row r="27" spans="1:11" x14ac:dyDescent="0.25">
      <c r="A27" s="220">
        <v>1</v>
      </c>
      <c r="B27" s="1316" t="s">
        <v>496</v>
      </c>
      <c r="C27" s="1264"/>
      <c r="D27" s="1264"/>
      <c r="E27" s="1264"/>
      <c r="F27" s="1264"/>
      <c r="G27" s="1264"/>
      <c r="H27" s="1265"/>
      <c r="I27" s="421"/>
      <c r="J27" s="421"/>
      <c r="K27" s="421"/>
    </row>
    <row r="28" spans="1:11" ht="22.9" customHeight="1" x14ac:dyDescent="0.25">
      <c r="A28" s="248" t="s">
        <v>218</v>
      </c>
      <c r="B28" s="1320" t="s">
        <v>497</v>
      </c>
      <c r="C28" s="1321"/>
      <c r="D28" s="422" t="s">
        <v>498</v>
      </c>
      <c r="E28" s="232">
        <f>розрахунок!D10</f>
        <v>2161.44</v>
      </c>
      <c r="F28" s="245">
        <v>2</v>
      </c>
      <c r="G28" s="1324">
        <v>1.2</v>
      </c>
      <c r="H28" s="1324"/>
      <c r="I28" s="243">
        <f>E28/100*F28*G28</f>
        <v>51.874559999999995</v>
      </c>
      <c r="J28" s="222">
        <v>75</v>
      </c>
      <c r="K28" s="222" t="s">
        <v>499</v>
      </c>
    </row>
    <row r="29" spans="1:11" ht="25.15" customHeight="1" x14ac:dyDescent="0.25">
      <c r="A29" s="248" t="s">
        <v>500</v>
      </c>
      <c r="B29" s="1320" t="s">
        <v>501</v>
      </c>
      <c r="C29" s="1321"/>
      <c r="D29" s="422" t="s">
        <v>498</v>
      </c>
      <c r="E29" s="232">
        <f>розрахунок!D12</f>
        <v>2260</v>
      </c>
      <c r="F29" s="245">
        <v>1</v>
      </c>
      <c r="G29" s="1324">
        <v>1.2</v>
      </c>
      <c r="H29" s="1324"/>
      <c r="I29" s="243">
        <f>E29/100*F29*G29</f>
        <v>27.12</v>
      </c>
      <c r="J29" s="222">
        <v>75</v>
      </c>
      <c r="K29" s="222" t="s">
        <v>499</v>
      </c>
    </row>
    <row r="30" spans="1:11" ht="33.6" customHeight="1" x14ac:dyDescent="0.25">
      <c r="A30" s="248" t="s">
        <v>503</v>
      </c>
      <c r="B30" s="1320" t="s">
        <v>504</v>
      </c>
      <c r="C30" s="1321"/>
      <c r="D30" s="422" t="s">
        <v>502</v>
      </c>
      <c r="E30" s="232">
        <f>розрахунок!D14</f>
        <v>304</v>
      </c>
      <c r="F30" s="245">
        <v>2</v>
      </c>
      <c r="G30" s="1324">
        <v>8.8000000000000007</v>
      </c>
      <c r="H30" s="1324"/>
      <c r="I30" s="243">
        <f>E30/100*F30*G30</f>
        <v>53.504000000000005</v>
      </c>
      <c r="J30" s="222">
        <v>78</v>
      </c>
      <c r="K30" s="222" t="s">
        <v>505</v>
      </c>
    </row>
    <row r="31" spans="1:11" ht="23.45" customHeight="1" x14ac:dyDescent="0.25">
      <c r="A31" s="248" t="s">
        <v>506</v>
      </c>
      <c r="B31" s="1320" t="s">
        <v>507</v>
      </c>
      <c r="C31" s="1321"/>
      <c r="D31" s="422" t="s">
        <v>498</v>
      </c>
      <c r="E31" s="232">
        <f>розрахунок!D13</f>
        <v>2080</v>
      </c>
      <c r="F31" s="245">
        <v>1</v>
      </c>
      <c r="G31" s="1324">
        <v>2.2000000000000002</v>
      </c>
      <c r="H31" s="1324"/>
      <c r="I31" s="243">
        <f>E31/100*F31*G31</f>
        <v>45.760000000000005</v>
      </c>
      <c r="J31" s="222">
        <v>79</v>
      </c>
      <c r="K31" s="222" t="s">
        <v>508</v>
      </c>
    </row>
    <row r="32" spans="1:11" x14ac:dyDescent="0.25">
      <c r="A32" s="248" t="s">
        <v>509</v>
      </c>
      <c r="B32" s="1316" t="s">
        <v>510</v>
      </c>
      <c r="C32" s="1264"/>
      <c r="D32" s="1264"/>
      <c r="E32" s="1264"/>
      <c r="F32" s="1264"/>
      <c r="G32" s="1264"/>
      <c r="H32" s="1265"/>
      <c r="I32" s="423"/>
      <c r="J32" s="424"/>
      <c r="K32" s="163"/>
    </row>
    <row r="33" spans="1:11" x14ac:dyDescent="0.25">
      <c r="A33" s="248" t="s">
        <v>511</v>
      </c>
      <c r="B33" s="1316" t="s">
        <v>512</v>
      </c>
      <c r="C33" s="1317"/>
      <c r="D33" s="1318"/>
      <c r="E33" s="1318"/>
      <c r="F33" s="1318"/>
      <c r="G33" s="1318"/>
      <c r="H33" s="1319"/>
      <c r="I33" s="243"/>
      <c r="J33" s="222"/>
      <c r="K33" s="222"/>
    </row>
    <row r="34" spans="1:11" ht="25.9" customHeight="1" x14ac:dyDescent="0.25">
      <c r="A34" s="248" t="s">
        <v>513</v>
      </c>
      <c r="B34" s="1363" t="s">
        <v>514</v>
      </c>
      <c r="C34" s="1363"/>
      <c r="D34" s="422" t="s">
        <v>498</v>
      </c>
      <c r="E34" s="246">
        <f>розрахунок!D11</f>
        <v>5561.44</v>
      </c>
      <c r="F34" s="396">
        <v>1</v>
      </c>
      <c r="G34" s="1262">
        <v>0.48</v>
      </c>
      <c r="H34" s="1262"/>
      <c r="I34" s="243">
        <f>E34*F34/100*G34</f>
        <v>26.694911999999999</v>
      </c>
      <c r="J34" s="222">
        <v>81</v>
      </c>
      <c r="K34" s="222" t="s">
        <v>515</v>
      </c>
    </row>
    <row r="35" spans="1:11" ht="27.6" customHeight="1" x14ac:dyDescent="0.25">
      <c r="A35" s="248" t="s">
        <v>516</v>
      </c>
      <c r="B35" s="1363" t="s">
        <v>517</v>
      </c>
      <c r="C35" s="1363"/>
      <c r="D35" s="422" t="s">
        <v>498</v>
      </c>
      <c r="E35" s="246">
        <f>розрахунок!D11</f>
        <v>5561.44</v>
      </c>
      <c r="F35" s="396">
        <v>1</v>
      </c>
      <c r="G35" s="1262">
        <v>1.73</v>
      </c>
      <c r="H35" s="1262"/>
      <c r="I35" s="243">
        <f>E35*F35/100*G35</f>
        <v>96.212911999999989</v>
      </c>
      <c r="J35" s="222">
        <v>81</v>
      </c>
      <c r="K35" s="222" t="s">
        <v>518</v>
      </c>
    </row>
    <row r="36" spans="1:11" ht="24" customHeight="1" x14ac:dyDescent="0.25">
      <c r="A36" s="248" t="s">
        <v>519</v>
      </c>
      <c r="B36" s="1320" t="s">
        <v>520</v>
      </c>
      <c r="C36" s="1321"/>
      <c r="D36" s="422" t="s">
        <v>498</v>
      </c>
      <c r="E36" s="232">
        <f>розрахунок!D11</f>
        <v>5561.44</v>
      </c>
      <c r="F36" s="245">
        <v>1</v>
      </c>
      <c r="G36" s="1324">
        <v>2.2000000000000002</v>
      </c>
      <c r="H36" s="1324"/>
      <c r="I36" s="243">
        <f>E36/100*F36*G36</f>
        <v>122.35168</v>
      </c>
      <c r="J36" s="222">
        <v>82</v>
      </c>
      <c r="K36" s="222" t="s">
        <v>521</v>
      </c>
    </row>
    <row r="37" spans="1:11" ht="16.899999999999999" customHeight="1" x14ac:dyDescent="0.25">
      <c r="A37" s="248" t="s">
        <v>522</v>
      </c>
      <c r="B37" s="1320" t="s">
        <v>523</v>
      </c>
      <c r="C37" s="1321"/>
      <c r="D37" s="422" t="s">
        <v>524</v>
      </c>
      <c r="E37" s="245">
        <f>розрахунок!D15</f>
        <v>10</v>
      </c>
      <c r="F37" s="245">
        <v>1</v>
      </c>
      <c r="G37" s="1324">
        <v>1.5</v>
      </c>
      <c r="H37" s="1324"/>
      <c r="I37" s="243">
        <f>E37*F37*G37</f>
        <v>15</v>
      </c>
      <c r="J37" s="222">
        <v>82</v>
      </c>
      <c r="K37" s="222" t="s">
        <v>525</v>
      </c>
    </row>
    <row r="38" spans="1:11" ht="26.45" hidden="1" customHeight="1" x14ac:dyDescent="0.25">
      <c r="A38" s="248"/>
      <c r="B38" s="1320" t="s">
        <v>526</v>
      </c>
      <c r="C38" s="1321"/>
      <c r="D38" s="422" t="s">
        <v>159</v>
      </c>
      <c r="E38" s="232">
        <f>[1]Таблица_Характеристика!M77*0</f>
        <v>0</v>
      </c>
      <c r="F38" s="245">
        <v>1</v>
      </c>
      <c r="G38" s="1324">
        <v>1.2</v>
      </c>
      <c r="H38" s="1324"/>
      <c r="I38" s="243">
        <f>E38*F38*G38</f>
        <v>0</v>
      </c>
      <c r="J38" s="222">
        <v>82</v>
      </c>
      <c r="K38" s="222" t="s">
        <v>527</v>
      </c>
    </row>
    <row r="39" spans="1:11" hidden="1" x14ac:dyDescent="0.25">
      <c r="A39" s="248" t="s">
        <v>528</v>
      </c>
      <c r="B39" s="1316" t="s">
        <v>529</v>
      </c>
      <c r="C39" s="1317"/>
      <c r="D39" s="1318"/>
      <c r="E39" s="1318"/>
      <c r="F39" s="1318"/>
      <c r="G39" s="1318"/>
      <c r="H39" s="1319"/>
      <c r="I39" s="243"/>
      <c r="J39" s="222"/>
      <c r="K39" s="222"/>
    </row>
    <row r="40" spans="1:11" ht="31.9" hidden="1" customHeight="1" x14ac:dyDescent="0.25">
      <c r="A40" s="248"/>
      <c r="B40" s="1320" t="s">
        <v>530</v>
      </c>
      <c r="C40" s="1321"/>
      <c r="D40" s="422" t="s">
        <v>498</v>
      </c>
      <c r="E40" s="232"/>
      <c r="F40" s="232">
        <v>0.25</v>
      </c>
      <c r="G40" s="1324">
        <v>6.2</v>
      </c>
      <c r="H40" s="1324"/>
      <c r="I40" s="243">
        <f>E40/100*F40*G40</f>
        <v>0</v>
      </c>
      <c r="J40" s="222">
        <v>83</v>
      </c>
      <c r="K40" s="222" t="s">
        <v>531</v>
      </c>
    </row>
    <row r="41" spans="1:11" ht="22.15" hidden="1" customHeight="1" x14ac:dyDescent="0.25">
      <c r="A41" s="248"/>
      <c r="B41" s="1320" t="s">
        <v>532</v>
      </c>
      <c r="C41" s="1321"/>
      <c r="D41" s="422" t="s">
        <v>498</v>
      </c>
      <c r="E41" s="425"/>
      <c r="F41" s="232">
        <v>0.25</v>
      </c>
      <c r="G41" s="1324">
        <v>8.4</v>
      </c>
      <c r="H41" s="1324"/>
      <c r="I41" s="243">
        <f>E41/100*F41*G41</f>
        <v>0</v>
      </c>
      <c r="J41" s="222">
        <v>83</v>
      </c>
      <c r="K41" s="222" t="s">
        <v>533</v>
      </c>
    </row>
    <row r="42" spans="1:11" ht="24.6" hidden="1" customHeight="1" x14ac:dyDescent="0.25">
      <c r="A42" s="248"/>
      <c r="B42" s="1320" t="s">
        <v>534</v>
      </c>
      <c r="C42" s="1321"/>
      <c r="D42" s="422" t="s">
        <v>159</v>
      </c>
      <c r="E42" s="232"/>
      <c r="F42" s="232">
        <v>0.25</v>
      </c>
      <c r="G42" s="1324">
        <v>2.1</v>
      </c>
      <c r="H42" s="1324"/>
      <c r="I42" s="243">
        <f t="shared" ref="I42:I49" si="1">E42/100*F42*G42</f>
        <v>0</v>
      </c>
      <c r="J42" s="222">
        <v>83</v>
      </c>
      <c r="K42" s="222" t="s">
        <v>535</v>
      </c>
    </row>
    <row r="43" spans="1:11" ht="22.9" hidden="1" customHeight="1" x14ac:dyDescent="0.25">
      <c r="A43" s="248"/>
      <c r="B43" s="1320" t="s">
        <v>536</v>
      </c>
      <c r="C43" s="1321"/>
      <c r="D43" s="422" t="s">
        <v>537</v>
      </c>
      <c r="E43" s="232"/>
      <c r="F43" s="245"/>
      <c r="G43" s="1324"/>
      <c r="H43" s="1324"/>
      <c r="I43" s="243">
        <f t="shared" si="1"/>
        <v>0</v>
      </c>
      <c r="J43" s="222"/>
      <c r="K43" s="222"/>
    </row>
    <row r="44" spans="1:11" ht="15" customHeight="1" x14ac:dyDescent="0.25">
      <c r="A44" s="248"/>
      <c r="B44" s="1360"/>
      <c r="C44" s="1361"/>
      <c r="D44" s="1361"/>
      <c r="E44" s="1361"/>
      <c r="F44" s="1361"/>
      <c r="G44" s="1361"/>
      <c r="H44" s="1362"/>
      <c r="I44" s="243"/>
      <c r="J44" s="222"/>
      <c r="K44" s="222"/>
    </row>
    <row r="45" spans="1:11" ht="20.45" hidden="1" customHeight="1" x14ac:dyDescent="0.25">
      <c r="A45" s="248"/>
      <c r="B45" s="1354" t="s">
        <v>539</v>
      </c>
      <c r="C45" s="1355"/>
      <c r="D45" s="422" t="s">
        <v>498</v>
      </c>
      <c r="E45" s="232"/>
      <c r="F45" s="232">
        <v>0.25</v>
      </c>
      <c r="G45" s="1331">
        <v>21.3</v>
      </c>
      <c r="H45" s="1332"/>
      <c r="I45" s="243">
        <f t="shared" si="1"/>
        <v>0</v>
      </c>
      <c r="J45" s="222">
        <v>86</v>
      </c>
      <c r="K45" s="222" t="s">
        <v>540</v>
      </c>
    </row>
    <row r="46" spans="1:11" ht="25.9" hidden="1" customHeight="1" x14ac:dyDescent="0.25">
      <c r="A46" s="248"/>
      <c r="B46" s="1354" t="s">
        <v>541</v>
      </c>
      <c r="C46" s="1355"/>
      <c r="D46" s="422" t="s">
        <v>498</v>
      </c>
      <c r="E46" s="232"/>
      <c r="F46" s="232">
        <v>0.25</v>
      </c>
      <c r="G46" s="1331">
        <v>23.2</v>
      </c>
      <c r="H46" s="1332"/>
      <c r="I46" s="243">
        <f t="shared" si="1"/>
        <v>0</v>
      </c>
      <c r="J46" s="222">
        <v>86</v>
      </c>
      <c r="K46" s="222" t="s">
        <v>542</v>
      </c>
    </row>
    <row r="47" spans="1:11" ht="21.6" hidden="1" customHeight="1" x14ac:dyDescent="0.25">
      <c r="A47" s="248"/>
      <c r="B47" s="1354" t="s">
        <v>543</v>
      </c>
      <c r="C47" s="1355"/>
      <c r="D47" s="422" t="s">
        <v>498</v>
      </c>
      <c r="E47" s="232"/>
      <c r="F47" s="232">
        <v>0.25</v>
      </c>
      <c r="G47" s="1356">
        <v>28</v>
      </c>
      <c r="H47" s="1357"/>
      <c r="I47" s="243">
        <f t="shared" si="1"/>
        <v>0</v>
      </c>
      <c r="J47" s="222">
        <v>86</v>
      </c>
      <c r="K47" s="222" t="s">
        <v>544</v>
      </c>
    </row>
    <row r="48" spans="1:11" ht="21" customHeight="1" x14ac:dyDescent="0.25">
      <c r="A48" s="248" t="s">
        <v>801</v>
      </c>
      <c r="B48" s="1329" t="s">
        <v>545</v>
      </c>
      <c r="C48" s="1330"/>
      <c r="D48" s="422" t="s">
        <v>524</v>
      </c>
      <c r="E48" s="245">
        <f>розрахунок!D16</f>
        <v>16</v>
      </c>
      <c r="F48" s="245">
        <v>1</v>
      </c>
      <c r="G48" s="1358">
        <v>0.72</v>
      </c>
      <c r="H48" s="1359"/>
      <c r="I48" s="243">
        <f>E48/1*F48*G48</f>
        <v>11.52</v>
      </c>
      <c r="J48" s="222">
        <v>87</v>
      </c>
      <c r="K48" s="222" t="s">
        <v>546</v>
      </c>
    </row>
    <row r="49" spans="1:11" hidden="1" x14ac:dyDescent="0.25">
      <c r="A49" s="426"/>
      <c r="B49" s="1350"/>
      <c r="C49" s="1351"/>
      <c r="D49" s="427"/>
      <c r="E49" s="428"/>
      <c r="F49" s="428"/>
      <c r="G49" s="1352"/>
      <c r="H49" s="1353"/>
      <c r="I49" s="429">
        <f t="shared" si="1"/>
        <v>0</v>
      </c>
      <c r="J49" s="430"/>
      <c r="K49" s="430"/>
    </row>
    <row r="50" spans="1:11" ht="27" hidden="1" customHeight="1" x14ac:dyDescent="0.25">
      <c r="A50" s="426" t="s">
        <v>519</v>
      </c>
      <c r="B50" s="1344" t="s">
        <v>547</v>
      </c>
      <c r="C50" s="1345"/>
      <c r="D50" s="427" t="s">
        <v>548</v>
      </c>
      <c r="E50" s="430"/>
      <c r="F50" s="431"/>
      <c r="G50" s="1346">
        <v>0.45</v>
      </c>
      <c r="H50" s="1347"/>
      <c r="I50" s="429">
        <f>E50*F50*G50</f>
        <v>0</v>
      </c>
      <c r="J50" s="430">
        <v>99</v>
      </c>
      <c r="K50" s="430" t="s">
        <v>549</v>
      </c>
    </row>
    <row r="51" spans="1:11" ht="28.15" hidden="1" customHeight="1" x14ac:dyDescent="0.25">
      <c r="A51" s="426" t="s">
        <v>522</v>
      </c>
      <c r="B51" s="1344" t="s">
        <v>550</v>
      </c>
      <c r="C51" s="1345"/>
      <c r="D51" s="427" t="s">
        <v>551</v>
      </c>
      <c r="E51" s="428"/>
      <c r="F51" s="431"/>
      <c r="G51" s="1346">
        <v>3.3</v>
      </c>
      <c r="H51" s="1347"/>
      <c r="I51" s="429">
        <f>E51/10*F51*G51</f>
        <v>0</v>
      </c>
      <c r="J51" s="430">
        <v>106</v>
      </c>
      <c r="K51" s="430" t="s">
        <v>552</v>
      </c>
    </row>
    <row r="52" spans="1:11" ht="34.15" hidden="1" customHeight="1" x14ac:dyDescent="0.25">
      <c r="A52" s="426"/>
      <c r="B52" s="1344" t="s">
        <v>553</v>
      </c>
      <c r="C52" s="1345"/>
      <c r="D52" s="427" t="s">
        <v>537</v>
      </c>
      <c r="E52" s="430"/>
      <c r="F52" s="431"/>
      <c r="G52" s="1346"/>
      <c r="H52" s="1347"/>
      <c r="I52" s="429">
        <f t="shared" ref="I52:I64" si="2">E52/100*F52*G52</f>
        <v>0</v>
      </c>
      <c r="J52" s="430"/>
      <c r="K52" s="430"/>
    </row>
    <row r="53" spans="1:11" ht="22.9" hidden="1" customHeight="1" x14ac:dyDescent="0.25">
      <c r="A53" s="426"/>
      <c r="B53" s="1344" t="s">
        <v>554</v>
      </c>
      <c r="C53" s="1345"/>
      <c r="D53" s="427" t="s">
        <v>537</v>
      </c>
      <c r="E53" s="430"/>
      <c r="F53" s="431"/>
      <c r="G53" s="1346"/>
      <c r="H53" s="1347"/>
      <c r="I53" s="429">
        <f t="shared" si="2"/>
        <v>0</v>
      </c>
      <c r="J53" s="430"/>
      <c r="K53" s="430"/>
    </row>
    <row r="54" spans="1:11" hidden="1" x14ac:dyDescent="0.25">
      <c r="A54" s="426"/>
      <c r="B54" s="1338" t="s">
        <v>555</v>
      </c>
      <c r="C54" s="1348"/>
      <c r="D54" s="1348"/>
      <c r="E54" s="1348"/>
      <c r="F54" s="1348"/>
      <c r="G54" s="1348"/>
      <c r="H54" s="1349"/>
      <c r="I54" s="429">
        <f t="shared" si="2"/>
        <v>0</v>
      </c>
      <c r="J54" s="430">
        <v>84</v>
      </c>
      <c r="K54" s="430"/>
    </row>
    <row r="55" spans="1:11" ht="25.15" hidden="1" customHeight="1" x14ac:dyDescent="0.25">
      <c r="A55" s="426"/>
      <c r="B55" s="1344" t="s">
        <v>556</v>
      </c>
      <c r="C55" s="1345"/>
      <c r="D55" s="427" t="s">
        <v>159</v>
      </c>
      <c r="E55" s="430"/>
      <c r="F55" s="431"/>
      <c r="G55" s="1346">
        <v>0.5</v>
      </c>
      <c r="H55" s="1347"/>
      <c r="I55" s="429">
        <f>E55*F55*G55</f>
        <v>0</v>
      </c>
      <c r="J55" s="430">
        <v>84</v>
      </c>
      <c r="K55" s="430" t="s">
        <v>557</v>
      </c>
    </row>
    <row r="56" spans="1:11" ht="13.15" hidden="1" customHeight="1" x14ac:dyDescent="0.25">
      <c r="A56" s="426"/>
      <c r="B56" s="1344" t="s">
        <v>558</v>
      </c>
      <c r="C56" s="1345"/>
      <c r="D56" s="427" t="s">
        <v>159</v>
      </c>
      <c r="E56" s="430"/>
      <c r="F56" s="431"/>
      <c r="G56" s="1346">
        <v>0.16</v>
      </c>
      <c r="H56" s="1347"/>
      <c r="I56" s="429">
        <f>E56*F56*G56</f>
        <v>0</v>
      </c>
      <c r="J56" s="430">
        <v>84</v>
      </c>
      <c r="K56" s="430" t="s">
        <v>559</v>
      </c>
    </row>
    <row r="57" spans="1:11" ht="23.45" hidden="1" customHeight="1" x14ac:dyDescent="0.25">
      <c r="A57" s="426" t="s">
        <v>538</v>
      </c>
      <c r="B57" s="1344" t="s">
        <v>560</v>
      </c>
      <c r="C57" s="1345"/>
      <c r="D57" s="427" t="s">
        <v>498</v>
      </c>
      <c r="E57" s="428"/>
      <c r="F57" s="431"/>
      <c r="G57" s="1346">
        <v>0.48</v>
      </c>
      <c r="H57" s="1347"/>
      <c r="I57" s="429">
        <f t="shared" si="2"/>
        <v>0</v>
      </c>
      <c r="J57" s="430">
        <v>81</v>
      </c>
      <c r="K57" s="430" t="s">
        <v>515</v>
      </c>
    </row>
    <row r="58" spans="1:11" ht="21" hidden="1" customHeight="1" x14ac:dyDescent="0.25">
      <c r="A58" s="426" t="s">
        <v>561</v>
      </c>
      <c r="B58" s="1344" t="s">
        <v>562</v>
      </c>
      <c r="C58" s="1345"/>
      <c r="D58" s="427" t="s">
        <v>498</v>
      </c>
      <c r="E58" s="428"/>
      <c r="F58" s="431"/>
      <c r="G58" s="1346">
        <v>1.73</v>
      </c>
      <c r="H58" s="1347"/>
      <c r="I58" s="429">
        <f>E58/100*F58*G58</f>
        <v>0</v>
      </c>
      <c r="J58" s="430">
        <v>81</v>
      </c>
      <c r="K58" s="430" t="s">
        <v>518</v>
      </c>
    </row>
    <row r="59" spans="1:11" ht="30.6" hidden="1" customHeight="1" x14ac:dyDescent="0.25">
      <c r="A59" s="426" t="s">
        <v>563</v>
      </c>
      <c r="B59" s="1344" t="s">
        <v>564</v>
      </c>
      <c r="C59" s="1345"/>
      <c r="D59" s="427" t="s">
        <v>565</v>
      </c>
      <c r="E59" s="431"/>
      <c r="F59" s="431"/>
      <c r="G59" s="1346">
        <v>0.3</v>
      </c>
      <c r="H59" s="1347"/>
      <c r="I59" s="429">
        <f>E59*F59*G59</f>
        <v>0</v>
      </c>
      <c r="J59" s="430">
        <v>85</v>
      </c>
      <c r="K59" s="430" t="s">
        <v>566</v>
      </c>
    </row>
    <row r="60" spans="1:11" ht="24" hidden="1" customHeight="1" x14ac:dyDescent="0.25">
      <c r="A60" s="426"/>
      <c r="B60" s="1344" t="s">
        <v>567</v>
      </c>
      <c r="C60" s="1345"/>
      <c r="D60" s="427" t="s">
        <v>537</v>
      </c>
      <c r="E60" s="430"/>
      <c r="F60" s="428"/>
      <c r="G60" s="1346"/>
      <c r="H60" s="1347"/>
      <c r="I60" s="429">
        <f t="shared" si="2"/>
        <v>0</v>
      </c>
      <c r="J60" s="430"/>
      <c r="K60" s="430"/>
    </row>
    <row r="61" spans="1:11" ht="25.15" hidden="1" customHeight="1" x14ac:dyDescent="0.25">
      <c r="A61" s="248" t="s">
        <v>538</v>
      </c>
      <c r="B61" s="1320" t="s">
        <v>568</v>
      </c>
      <c r="C61" s="1321"/>
      <c r="D61" s="422" t="s">
        <v>569</v>
      </c>
      <c r="E61" s="245">
        <f>розрахунок!D17</f>
        <v>0</v>
      </c>
      <c r="F61" s="245">
        <v>2</v>
      </c>
      <c r="G61" s="1324">
        <v>0.48</v>
      </c>
      <c r="H61" s="1324"/>
      <c r="I61" s="243">
        <f>E61*F61*G61</f>
        <v>0</v>
      </c>
      <c r="J61" s="222">
        <v>93</v>
      </c>
      <c r="K61" s="222" t="s">
        <v>570</v>
      </c>
    </row>
    <row r="62" spans="1:11" ht="40.15" hidden="1" customHeight="1" x14ac:dyDescent="0.25">
      <c r="A62" s="426"/>
      <c r="B62" s="1335" t="s">
        <v>571</v>
      </c>
      <c r="C62" s="1336"/>
      <c r="D62" s="427" t="s">
        <v>537</v>
      </c>
      <c r="E62" s="430"/>
      <c r="F62" s="431">
        <v>1</v>
      </c>
      <c r="G62" s="1337"/>
      <c r="H62" s="1337"/>
      <c r="I62" s="429">
        <f t="shared" si="2"/>
        <v>0</v>
      </c>
      <c r="J62" s="430"/>
      <c r="K62" s="430"/>
    </row>
    <row r="63" spans="1:11" ht="17.45" hidden="1" customHeight="1" x14ac:dyDescent="0.25">
      <c r="A63" s="426"/>
      <c r="B63" s="1335" t="s">
        <v>572</v>
      </c>
      <c r="C63" s="1336"/>
      <c r="D63" s="427" t="s">
        <v>537</v>
      </c>
      <c r="E63" s="430"/>
      <c r="F63" s="428">
        <v>0.25</v>
      </c>
      <c r="G63" s="1337"/>
      <c r="H63" s="1337"/>
      <c r="I63" s="429">
        <f t="shared" si="2"/>
        <v>0</v>
      </c>
      <c r="J63" s="430"/>
      <c r="K63" s="430"/>
    </row>
    <row r="64" spans="1:11" ht="27.6" hidden="1" customHeight="1" x14ac:dyDescent="0.25">
      <c r="A64" s="426"/>
      <c r="B64" s="1335" t="s">
        <v>573</v>
      </c>
      <c r="C64" s="1336"/>
      <c r="D64" s="427" t="s">
        <v>537</v>
      </c>
      <c r="E64" s="430"/>
      <c r="F64" s="431"/>
      <c r="G64" s="1337"/>
      <c r="H64" s="1337"/>
      <c r="I64" s="429">
        <f t="shared" si="2"/>
        <v>0</v>
      </c>
      <c r="J64" s="430"/>
      <c r="K64" s="430"/>
    </row>
    <row r="65" spans="1:11" hidden="1" x14ac:dyDescent="0.25">
      <c r="A65" s="432" t="s">
        <v>574</v>
      </c>
      <c r="B65" s="1338" t="s">
        <v>575</v>
      </c>
      <c r="C65" s="1339"/>
      <c r="D65" s="1339"/>
      <c r="E65" s="1339"/>
      <c r="F65" s="1339"/>
      <c r="G65" s="1339"/>
      <c r="H65" s="1340"/>
      <c r="I65" s="433"/>
      <c r="J65" s="434"/>
      <c r="K65" s="434"/>
    </row>
    <row r="66" spans="1:11" hidden="1" x14ac:dyDescent="0.25">
      <c r="A66" s="426" t="s">
        <v>576</v>
      </c>
      <c r="B66" s="1338" t="s">
        <v>577</v>
      </c>
      <c r="C66" s="1341"/>
      <c r="D66" s="1342"/>
      <c r="E66" s="1342"/>
      <c r="F66" s="1342"/>
      <c r="G66" s="1342"/>
      <c r="H66" s="1343"/>
      <c r="I66" s="429"/>
      <c r="J66" s="430"/>
      <c r="K66" s="430"/>
    </row>
    <row r="67" spans="1:11" ht="25.9" hidden="1" customHeight="1" x14ac:dyDescent="0.25">
      <c r="A67" s="426"/>
      <c r="B67" s="1335" t="s">
        <v>520</v>
      </c>
      <c r="C67" s="1336"/>
      <c r="D67" s="427" t="s">
        <v>498</v>
      </c>
      <c r="E67" s="428">
        <f>[1]Таблица_Характеристика!M87</f>
        <v>0</v>
      </c>
      <c r="F67" s="431"/>
      <c r="G67" s="1337">
        <v>2.2000000000000002</v>
      </c>
      <c r="H67" s="1337"/>
      <c r="I67" s="429">
        <f>E67/100*F67*G67</f>
        <v>0</v>
      </c>
      <c r="J67" s="430">
        <v>82</v>
      </c>
      <c r="K67" s="430" t="s">
        <v>521</v>
      </c>
    </row>
    <row r="68" spans="1:11" ht="22.15" hidden="1" customHeight="1" x14ac:dyDescent="0.25">
      <c r="A68" s="426"/>
      <c r="B68" s="1335" t="s">
        <v>523</v>
      </c>
      <c r="C68" s="1336"/>
      <c r="D68" s="427" t="s">
        <v>159</v>
      </c>
      <c r="E68" s="428"/>
      <c r="F68" s="431">
        <v>2</v>
      </c>
      <c r="G68" s="1337">
        <v>1.5</v>
      </c>
      <c r="H68" s="1337"/>
      <c r="I68" s="429"/>
      <c r="J68" s="430"/>
      <c r="K68" s="430"/>
    </row>
    <row r="69" spans="1:11" hidden="1" x14ac:dyDescent="0.25">
      <c r="A69" s="426"/>
      <c r="B69" s="1335" t="s">
        <v>578</v>
      </c>
      <c r="C69" s="1336"/>
      <c r="D69" s="427" t="s">
        <v>537</v>
      </c>
      <c r="E69" s="430"/>
      <c r="F69" s="431">
        <v>2</v>
      </c>
      <c r="G69" s="1337"/>
      <c r="H69" s="1337"/>
      <c r="I69" s="429">
        <f>E69/100*F69*G69</f>
        <v>0</v>
      </c>
      <c r="J69" s="430"/>
      <c r="K69" s="430"/>
    </row>
    <row r="70" spans="1:11" x14ac:dyDescent="0.25">
      <c r="A70" s="248" t="s">
        <v>561</v>
      </c>
      <c r="B70" s="1316" t="s">
        <v>579</v>
      </c>
      <c r="C70" s="1317"/>
      <c r="D70" s="1318"/>
      <c r="E70" s="1318"/>
      <c r="F70" s="1318"/>
      <c r="G70" s="1318"/>
      <c r="H70" s="1319"/>
      <c r="I70" s="243"/>
      <c r="J70" s="222"/>
      <c r="K70" s="222"/>
    </row>
    <row r="71" spans="1:11" ht="24.6" customHeight="1" x14ac:dyDescent="0.25">
      <c r="A71" s="248"/>
      <c r="B71" s="1320" t="s">
        <v>580</v>
      </c>
      <c r="C71" s="1321"/>
      <c r="D71" s="422" t="s">
        <v>548</v>
      </c>
      <c r="E71" s="431">
        <v>30</v>
      </c>
      <c r="F71" s="431">
        <v>1</v>
      </c>
      <c r="G71" s="1324">
        <v>1.4</v>
      </c>
      <c r="H71" s="1324"/>
      <c r="I71" s="243">
        <f>F71*G71*E71</f>
        <v>42</v>
      </c>
      <c r="J71" s="222">
        <v>91</v>
      </c>
      <c r="K71" s="222" t="s">
        <v>581</v>
      </c>
    </row>
    <row r="72" spans="1:11" ht="19.149999999999999" hidden="1" customHeight="1" x14ac:dyDescent="0.25">
      <c r="A72" s="248"/>
      <c r="B72" s="1320" t="s">
        <v>582</v>
      </c>
      <c r="C72" s="1321"/>
      <c r="D72" s="422" t="s">
        <v>548</v>
      </c>
      <c r="E72" s="431"/>
      <c r="F72" s="431">
        <v>2</v>
      </c>
      <c r="G72" s="1324">
        <v>1.8</v>
      </c>
      <c r="H72" s="1324"/>
      <c r="I72" s="243">
        <f>F72*G72*E72</f>
        <v>0</v>
      </c>
      <c r="J72" s="222">
        <v>91</v>
      </c>
      <c r="K72" s="222" t="s">
        <v>583</v>
      </c>
    </row>
    <row r="73" spans="1:11" ht="19.899999999999999" customHeight="1" x14ac:dyDescent="0.25">
      <c r="A73" s="248"/>
      <c r="B73" s="1333" t="s">
        <v>584</v>
      </c>
      <c r="C73" s="1334"/>
      <c r="D73" s="422" t="s">
        <v>585</v>
      </c>
      <c r="E73" s="431">
        <v>1</v>
      </c>
      <c r="F73" s="431">
        <v>40</v>
      </c>
      <c r="G73" s="1324">
        <v>0.2</v>
      </c>
      <c r="H73" s="1324"/>
      <c r="I73" s="243">
        <f>F73*G73*E73</f>
        <v>8</v>
      </c>
      <c r="J73" s="222">
        <v>91</v>
      </c>
      <c r="K73" s="222" t="s">
        <v>586</v>
      </c>
    </row>
    <row r="74" spans="1:11" ht="24" hidden="1" customHeight="1" x14ac:dyDescent="0.25">
      <c r="A74" s="426"/>
      <c r="B74" s="1335" t="s">
        <v>587</v>
      </c>
      <c r="C74" s="1336"/>
      <c r="D74" s="427" t="s">
        <v>537</v>
      </c>
      <c r="E74" s="430"/>
      <c r="F74" s="428">
        <v>0.25</v>
      </c>
      <c r="G74" s="1337"/>
      <c r="H74" s="1337"/>
      <c r="I74" s="429">
        <f>E74/100*F74*G74</f>
        <v>0</v>
      </c>
      <c r="J74" s="430"/>
      <c r="K74" s="430"/>
    </row>
    <row r="75" spans="1:11" ht="25.9" hidden="1" customHeight="1" x14ac:dyDescent="0.25">
      <c r="A75" s="426"/>
      <c r="B75" s="1335" t="s">
        <v>588</v>
      </c>
      <c r="C75" s="1336"/>
      <c r="D75" s="427" t="s">
        <v>548</v>
      </c>
      <c r="E75" s="430"/>
      <c r="F75" s="431">
        <v>2</v>
      </c>
      <c r="G75" s="1337"/>
      <c r="H75" s="1337"/>
      <c r="I75" s="429">
        <f>E75/100*F75*G75</f>
        <v>0</v>
      </c>
      <c r="J75" s="430">
        <v>99</v>
      </c>
      <c r="K75" s="430" t="s">
        <v>589</v>
      </c>
    </row>
    <row r="76" spans="1:11" ht="21.6" customHeight="1" x14ac:dyDescent="0.25">
      <c r="A76" s="248" t="s">
        <v>563</v>
      </c>
      <c r="B76" s="1329" t="s">
        <v>591</v>
      </c>
      <c r="C76" s="1330"/>
      <c r="D76" s="422" t="s">
        <v>548</v>
      </c>
      <c r="E76" s="245">
        <f>розрахунок!D18</f>
        <v>48</v>
      </c>
      <c r="F76" s="245">
        <v>1</v>
      </c>
      <c r="G76" s="1331">
        <v>0.35</v>
      </c>
      <c r="H76" s="1332"/>
      <c r="I76" s="243">
        <f t="shared" ref="I76:I80" si="3">E76*F76*G76</f>
        <v>16.799999999999997</v>
      </c>
      <c r="J76" s="222">
        <v>94</v>
      </c>
      <c r="K76" s="222" t="s">
        <v>592</v>
      </c>
    </row>
    <row r="77" spans="1:11" ht="25.9" customHeight="1" x14ac:dyDescent="0.25">
      <c r="A77" s="248" t="s">
        <v>802</v>
      </c>
      <c r="B77" s="1329" t="s">
        <v>594</v>
      </c>
      <c r="C77" s="1330"/>
      <c r="D77" s="422" t="s">
        <v>548</v>
      </c>
      <c r="E77" s="245">
        <f>розрахунок!D19</f>
        <v>16</v>
      </c>
      <c r="F77" s="245">
        <v>1</v>
      </c>
      <c r="G77" s="1331">
        <v>0.46</v>
      </c>
      <c r="H77" s="1332"/>
      <c r="I77" s="243">
        <f t="shared" si="3"/>
        <v>7.36</v>
      </c>
      <c r="J77" s="222">
        <v>96</v>
      </c>
      <c r="K77" s="222" t="s">
        <v>595</v>
      </c>
    </row>
    <row r="78" spans="1:11" ht="22.9" customHeight="1" x14ac:dyDescent="0.25">
      <c r="A78" s="248"/>
      <c r="B78" s="1329" t="s">
        <v>596</v>
      </c>
      <c r="C78" s="1330"/>
      <c r="D78" s="422" t="s">
        <v>548</v>
      </c>
      <c r="E78" s="245">
        <f>розрахунок!D20</f>
        <v>16</v>
      </c>
      <c r="F78" s="245">
        <v>1</v>
      </c>
      <c r="G78" s="1331">
        <v>0.57999999999999996</v>
      </c>
      <c r="H78" s="1332"/>
      <c r="I78" s="243">
        <f t="shared" si="3"/>
        <v>9.2799999999999994</v>
      </c>
      <c r="J78" s="222">
        <v>96</v>
      </c>
      <c r="K78" s="222" t="s">
        <v>597</v>
      </c>
    </row>
    <row r="79" spans="1:11" ht="27" customHeight="1" x14ac:dyDescent="0.25">
      <c r="A79" s="248" t="s">
        <v>590</v>
      </c>
      <c r="B79" s="1320" t="s">
        <v>588</v>
      </c>
      <c r="C79" s="1321"/>
      <c r="D79" s="422" t="s">
        <v>548</v>
      </c>
      <c r="E79" s="245">
        <f>розрахунок!D21</f>
        <v>24</v>
      </c>
      <c r="F79" s="245">
        <v>1</v>
      </c>
      <c r="G79" s="1324">
        <v>0.35</v>
      </c>
      <c r="H79" s="1324"/>
      <c r="I79" s="243">
        <f t="shared" si="3"/>
        <v>8.3999999999999986</v>
      </c>
      <c r="J79" s="222">
        <v>99</v>
      </c>
      <c r="K79" s="222" t="s">
        <v>589</v>
      </c>
    </row>
    <row r="80" spans="1:11" x14ac:dyDescent="0.25">
      <c r="A80" s="248" t="s">
        <v>593</v>
      </c>
      <c r="B80" s="1325" t="s">
        <v>598</v>
      </c>
      <c r="C80" s="1325"/>
      <c r="D80" s="422" t="s">
        <v>548</v>
      </c>
      <c r="E80" s="245">
        <f>розрахунок!D22</f>
        <v>5</v>
      </c>
      <c r="F80" s="245">
        <v>1</v>
      </c>
      <c r="G80" s="1324">
        <v>0.6</v>
      </c>
      <c r="H80" s="1324"/>
      <c r="I80" s="243">
        <f t="shared" si="3"/>
        <v>3</v>
      </c>
      <c r="J80" s="222">
        <v>101</v>
      </c>
      <c r="K80" s="222" t="s">
        <v>599</v>
      </c>
    </row>
    <row r="81" spans="1:11" hidden="1" x14ac:dyDescent="0.25">
      <c r="A81" s="248" t="s">
        <v>234</v>
      </c>
      <c r="B81" s="1316" t="s">
        <v>600</v>
      </c>
      <c r="C81" s="1317"/>
      <c r="D81" s="1318"/>
      <c r="E81" s="1318"/>
      <c r="F81" s="1318"/>
      <c r="G81" s="1318"/>
      <c r="H81" s="1319"/>
      <c r="I81" s="243"/>
      <c r="J81" s="222"/>
      <c r="K81" s="222"/>
    </row>
    <row r="82" spans="1:11" ht="25.15" hidden="1" customHeight="1" x14ac:dyDescent="0.25">
      <c r="A82" s="248"/>
      <c r="B82" s="1320" t="s">
        <v>601</v>
      </c>
      <c r="C82" s="1321"/>
      <c r="D82" s="422" t="s">
        <v>548</v>
      </c>
      <c r="E82" s="222"/>
      <c r="F82" s="232">
        <v>0.25</v>
      </c>
      <c r="G82" s="1322">
        <v>4</v>
      </c>
      <c r="H82" s="1323"/>
      <c r="I82" s="243">
        <f>E82*F82*G82</f>
        <v>0</v>
      </c>
      <c r="J82" s="222"/>
      <c r="K82" s="222"/>
    </row>
    <row r="83" spans="1:11" x14ac:dyDescent="0.25">
      <c r="A83" s="435"/>
      <c r="B83" s="1326" t="s">
        <v>602</v>
      </c>
      <c r="C83" s="1327"/>
      <c r="D83" s="436"/>
      <c r="E83" s="437"/>
      <c r="F83" s="190"/>
      <c r="G83" s="1258"/>
      <c r="H83" s="1328"/>
      <c r="I83" s="194">
        <f>SUM(I28:I82)</f>
        <v>544.87806399999988</v>
      </c>
      <c r="J83" s="190"/>
      <c r="K83" s="190"/>
    </row>
    <row r="84" spans="1:11" x14ac:dyDescent="0.25">
      <c r="A84" s="1386" t="s">
        <v>804</v>
      </c>
      <c r="B84" s="1386"/>
      <c r="C84" s="1386"/>
      <c r="D84" s="1386"/>
      <c r="E84" s="1386"/>
      <c r="F84" s="1386"/>
      <c r="G84" s="1386"/>
      <c r="H84" s="1386"/>
      <c r="I84" s="1386"/>
      <c r="J84" s="1386"/>
      <c r="K84" s="1386"/>
    </row>
    <row r="85" spans="1:11" ht="104.45" customHeight="1" x14ac:dyDescent="0.25">
      <c r="A85" s="183" t="s">
        <v>220</v>
      </c>
      <c r="B85" s="1388" t="s">
        <v>221</v>
      </c>
      <c r="C85" s="753"/>
      <c r="D85" s="601" t="s">
        <v>316</v>
      </c>
      <c r="E85" s="183" t="s">
        <v>492</v>
      </c>
      <c r="F85" s="184" t="s">
        <v>977</v>
      </c>
      <c r="G85" s="184" t="s">
        <v>821</v>
      </c>
      <c r="H85" s="186" t="s">
        <v>495</v>
      </c>
      <c r="I85" s="186" t="s">
        <v>820</v>
      </c>
      <c r="J85" s="186" t="s">
        <v>227</v>
      </c>
      <c r="K85" s="229"/>
    </row>
    <row r="86" spans="1:11" ht="14.45" customHeight="1" x14ac:dyDescent="0.25">
      <c r="A86" s="220">
        <v>1</v>
      </c>
      <c r="B86" s="1387">
        <v>2</v>
      </c>
      <c r="C86" s="753"/>
      <c r="D86" s="598">
        <v>3</v>
      </c>
      <c r="E86" s="222">
        <v>4</v>
      </c>
      <c r="F86" s="222">
        <v>5</v>
      </c>
      <c r="G86" s="602">
        <v>6</v>
      </c>
      <c r="H86" s="222">
        <v>7</v>
      </c>
      <c r="I86" s="222">
        <v>8</v>
      </c>
      <c r="J86" s="527">
        <v>9</v>
      </c>
      <c r="K86" s="229"/>
    </row>
    <row r="87" spans="1:11" ht="14.45" customHeight="1" x14ac:dyDescent="0.25">
      <c r="A87" s="220">
        <v>1</v>
      </c>
      <c r="B87" s="1389" t="s">
        <v>805</v>
      </c>
      <c r="C87" s="753"/>
      <c r="D87" s="753"/>
      <c r="E87" s="753"/>
      <c r="F87" s="753"/>
      <c r="G87" s="753"/>
      <c r="H87" s="421"/>
      <c r="I87" s="421"/>
      <c r="J87" s="421"/>
      <c r="K87" s="229"/>
    </row>
    <row r="88" spans="1:11" ht="14.45" customHeight="1" x14ac:dyDescent="0.25">
      <c r="A88" s="248" t="s">
        <v>218</v>
      </c>
      <c r="B88" s="1320" t="s">
        <v>806</v>
      </c>
      <c r="C88" s="753"/>
      <c r="D88" s="422" t="s">
        <v>807</v>
      </c>
      <c r="E88" s="245">
        <f>розрахунок!D23</f>
        <v>3</v>
      </c>
      <c r="F88" s="245">
        <v>2</v>
      </c>
      <c r="G88" s="246">
        <v>0.13</v>
      </c>
      <c r="H88" s="243">
        <f>E88*F88*G88</f>
        <v>0.78</v>
      </c>
      <c r="I88" s="222">
        <v>120</v>
      </c>
      <c r="J88" s="527" t="s">
        <v>808</v>
      </c>
      <c r="K88" s="229"/>
    </row>
    <row r="89" spans="1:11" ht="14.45" hidden="1" customHeight="1" x14ac:dyDescent="0.25">
      <c r="A89" s="248" t="s">
        <v>500</v>
      </c>
      <c r="B89" s="1320" t="s">
        <v>809</v>
      </c>
      <c r="C89" s="753"/>
      <c r="D89" s="422" t="s">
        <v>810</v>
      </c>
      <c r="E89" s="232"/>
      <c r="F89" s="245">
        <v>2</v>
      </c>
      <c r="G89" s="246">
        <v>0.1</v>
      </c>
      <c r="H89" s="243">
        <f>E89/10*F89*G89</f>
        <v>0</v>
      </c>
      <c r="I89" s="222">
        <v>120</v>
      </c>
      <c r="J89" s="527" t="s">
        <v>811</v>
      </c>
      <c r="K89" s="229"/>
    </row>
    <row r="90" spans="1:11" ht="14.45" customHeight="1" x14ac:dyDescent="0.25">
      <c r="A90" s="248" t="s">
        <v>760</v>
      </c>
      <c r="B90" s="1320" t="s">
        <v>812</v>
      </c>
      <c r="C90" s="753"/>
      <c r="D90" s="422" t="s">
        <v>813</v>
      </c>
      <c r="E90" s="245">
        <f>Характеристика!C12*Характеристика!E12</f>
        <v>72</v>
      </c>
      <c r="F90" s="245">
        <v>4</v>
      </c>
      <c r="G90" s="246">
        <v>0.05</v>
      </c>
      <c r="H90" s="243">
        <f>E90*F90*G90</f>
        <v>14.4</v>
      </c>
      <c r="I90" s="222">
        <v>120</v>
      </c>
      <c r="J90" s="527" t="s">
        <v>814</v>
      </c>
      <c r="K90" s="229"/>
    </row>
    <row r="91" spans="1:11" x14ac:dyDescent="0.25">
      <c r="A91" s="248" t="s">
        <v>768</v>
      </c>
      <c r="B91" s="1320" t="s">
        <v>815</v>
      </c>
      <c r="C91" s="753"/>
      <c r="D91" s="422" t="s">
        <v>807</v>
      </c>
      <c r="E91" s="245">
        <f>розрахунок!D24</f>
        <v>72</v>
      </c>
      <c r="F91" s="245">
        <v>4</v>
      </c>
      <c r="G91" s="246">
        <v>0.1</v>
      </c>
      <c r="H91" s="243">
        <f>E91*F91*G91</f>
        <v>28.8</v>
      </c>
      <c r="I91" s="222">
        <v>120</v>
      </c>
      <c r="J91" s="527" t="s">
        <v>816</v>
      </c>
      <c r="K91" s="229"/>
    </row>
    <row r="92" spans="1:11" x14ac:dyDescent="0.25">
      <c r="A92" s="248" t="s">
        <v>775</v>
      </c>
      <c r="B92" s="1320" t="s">
        <v>817</v>
      </c>
      <c r="C92" s="753"/>
      <c r="D92" s="422" t="s">
        <v>818</v>
      </c>
      <c r="E92" s="245">
        <f>розрахунок!D25</f>
        <v>3</v>
      </c>
      <c r="F92" s="245">
        <v>2</v>
      </c>
      <c r="G92" s="246">
        <v>0.3</v>
      </c>
      <c r="H92" s="243">
        <f>E92*F92*G92</f>
        <v>1.7999999999999998</v>
      </c>
      <c r="I92" s="222">
        <v>120</v>
      </c>
      <c r="J92" s="527" t="s">
        <v>819</v>
      </c>
      <c r="K92" s="229"/>
    </row>
    <row r="93" spans="1:11" x14ac:dyDescent="0.25">
      <c r="A93" s="248" t="s">
        <v>509</v>
      </c>
      <c r="B93" s="1393" t="s">
        <v>822</v>
      </c>
      <c r="C93" s="1394"/>
      <c r="D93" s="1394"/>
      <c r="E93" s="1394"/>
      <c r="F93" s="1394"/>
      <c r="G93" s="1395"/>
      <c r="H93" s="243"/>
      <c r="I93" s="222"/>
      <c r="J93" s="527"/>
      <c r="K93" s="229"/>
    </row>
    <row r="94" spans="1:11" hidden="1" x14ac:dyDescent="0.25">
      <c r="A94" s="248" t="s">
        <v>511</v>
      </c>
      <c r="B94" s="1320" t="s">
        <v>823</v>
      </c>
      <c r="C94" s="753"/>
      <c r="D94" s="422" t="s">
        <v>824</v>
      </c>
      <c r="E94" s="245">
        <f>[2]Таблица_Характеристика!J135*0</f>
        <v>0</v>
      </c>
      <c r="F94" s="245">
        <v>2</v>
      </c>
      <c r="G94" s="246">
        <v>0.08</v>
      </c>
      <c r="H94" s="243">
        <f>E94*F94*G94</f>
        <v>0</v>
      </c>
      <c r="I94" s="222">
        <v>121</v>
      </c>
      <c r="J94" s="527" t="s">
        <v>825</v>
      </c>
      <c r="K94" s="229"/>
    </row>
    <row r="95" spans="1:11" hidden="1" x14ac:dyDescent="0.25">
      <c r="A95" s="248" t="s">
        <v>516</v>
      </c>
      <c r="B95" s="1320" t="s">
        <v>826</v>
      </c>
      <c r="C95" s="753"/>
      <c r="D95" s="422" t="s">
        <v>551</v>
      </c>
      <c r="E95" s="245">
        <f>[2]Таблица_Характеристика!L140*0</f>
        <v>0</v>
      </c>
      <c r="F95" s="245">
        <v>2</v>
      </c>
      <c r="G95" s="246">
        <v>0.2</v>
      </c>
      <c r="H95" s="243">
        <f>E95/10*F95*G95</f>
        <v>0</v>
      </c>
      <c r="I95" s="222">
        <v>121</v>
      </c>
      <c r="J95" s="527" t="s">
        <v>827</v>
      </c>
      <c r="K95" s="229"/>
    </row>
    <row r="96" spans="1:11" ht="32.450000000000003" customHeight="1" x14ac:dyDescent="0.25">
      <c r="A96" s="248" t="s">
        <v>513</v>
      </c>
      <c r="B96" s="1320" t="s">
        <v>828</v>
      </c>
      <c r="C96" s="753"/>
      <c r="D96" s="422" t="s">
        <v>829</v>
      </c>
      <c r="E96" s="245">
        <f>розрахунок!D26</f>
        <v>21</v>
      </c>
      <c r="F96" s="245">
        <v>1</v>
      </c>
      <c r="G96" s="246">
        <v>0.2</v>
      </c>
      <c r="H96" s="243">
        <f>E96*F96*G96</f>
        <v>4.2</v>
      </c>
      <c r="I96" s="222">
        <v>121</v>
      </c>
      <c r="J96" s="222" t="s">
        <v>830</v>
      </c>
      <c r="K96" s="229"/>
    </row>
    <row r="97" spans="1:11" ht="47.25" customHeight="1" x14ac:dyDescent="0.25">
      <c r="A97" s="248" t="s">
        <v>831</v>
      </c>
      <c r="B97" s="1320" t="s">
        <v>832</v>
      </c>
      <c r="C97" s="753"/>
      <c r="D97" s="422" t="s">
        <v>829</v>
      </c>
      <c r="E97" s="245">
        <f>розрахунок!D27</f>
        <v>17</v>
      </c>
      <c r="F97" s="245">
        <v>1</v>
      </c>
      <c r="G97" s="246">
        <v>0.25</v>
      </c>
      <c r="H97" s="243">
        <f>E97*F97*G97</f>
        <v>4.25</v>
      </c>
      <c r="I97" s="222">
        <v>121</v>
      </c>
      <c r="J97" s="222" t="s">
        <v>833</v>
      </c>
      <c r="K97" s="229"/>
    </row>
    <row r="98" spans="1:11" x14ac:dyDescent="0.25">
      <c r="A98" s="248" t="s">
        <v>234</v>
      </c>
      <c r="B98" s="1393" t="s">
        <v>834</v>
      </c>
      <c r="C98" s="1394"/>
      <c r="D98" s="1394"/>
      <c r="E98" s="1394"/>
      <c r="F98" s="1394"/>
      <c r="G98" s="1395"/>
      <c r="H98" s="243"/>
      <c r="I98" s="222"/>
      <c r="J98" s="527"/>
      <c r="K98" s="229"/>
    </row>
    <row r="99" spans="1:11" x14ac:dyDescent="0.25">
      <c r="A99" s="248" t="s">
        <v>835</v>
      </c>
      <c r="B99" s="1320" t="s">
        <v>867</v>
      </c>
      <c r="C99" s="753"/>
      <c r="D99" s="422" t="s">
        <v>818</v>
      </c>
      <c r="E99" s="245">
        <f>розрахунок!D28</f>
        <v>160</v>
      </c>
      <c r="F99" s="603">
        <v>0.5</v>
      </c>
      <c r="G99" s="246">
        <v>0.1</v>
      </c>
      <c r="H99" s="243">
        <f>E99*F99*G99</f>
        <v>8</v>
      </c>
      <c r="I99" s="222">
        <v>122</v>
      </c>
      <c r="J99" s="527" t="s">
        <v>836</v>
      </c>
      <c r="K99" s="229"/>
    </row>
    <row r="100" spans="1:11" hidden="1" x14ac:dyDescent="0.25">
      <c r="A100" s="248" t="s">
        <v>837</v>
      </c>
      <c r="B100" s="1320" t="s">
        <v>838</v>
      </c>
      <c r="C100" s="753"/>
      <c r="D100" s="422" t="s">
        <v>818</v>
      </c>
      <c r="E100" s="245"/>
      <c r="F100" s="245">
        <v>1</v>
      </c>
      <c r="G100" s="246">
        <v>0.2</v>
      </c>
      <c r="H100" s="243">
        <f>E100*F100*G100</f>
        <v>0</v>
      </c>
      <c r="I100" s="222">
        <v>122</v>
      </c>
      <c r="J100" s="527" t="s">
        <v>839</v>
      </c>
      <c r="K100" s="229"/>
    </row>
    <row r="101" spans="1:11" x14ac:dyDescent="0.25">
      <c r="A101" s="248" t="s">
        <v>235</v>
      </c>
      <c r="B101" s="1398" t="s">
        <v>840</v>
      </c>
      <c r="C101" s="1399"/>
      <c r="D101" s="1399"/>
      <c r="E101" s="1399"/>
      <c r="F101" s="1399"/>
      <c r="G101" s="1400"/>
      <c r="H101" s="243"/>
      <c r="I101" s="222"/>
      <c r="J101" s="527"/>
      <c r="K101" s="229"/>
    </row>
    <row r="102" spans="1:11" x14ac:dyDescent="0.25">
      <c r="A102" s="248" t="s">
        <v>680</v>
      </c>
      <c r="B102" s="1320" t="s">
        <v>841</v>
      </c>
      <c r="C102" s="753"/>
      <c r="D102" s="422" t="s">
        <v>842</v>
      </c>
      <c r="E102" s="245">
        <f>розрахунок!D29</f>
        <v>8</v>
      </c>
      <c r="F102" s="245">
        <v>1</v>
      </c>
      <c r="G102" s="246">
        <v>2.6</v>
      </c>
      <c r="H102" s="243">
        <f>E102/10*F102*G102</f>
        <v>2.08</v>
      </c>
      <c r="I102" s="222">
        <v>123</v>
      </c>
      <c r="J102" s="527" t="s">
        <v>843</v>
      </c>
      <c r="K102" s="229"/>
    </row>
    <row r="103" spans="1:11" x14ac:dyDescent="0.25">
      <c r="A103" s="248" t="s">
        <v>682</v>
      </c>
      <c r="B103" s="1320" t="s">
        <v>844</v>
      </c>
      <c r="C103" s="753"/>
      <c r="D103" s="422" t="s">
        <v>842</v>
      </c>
      <c r="E103" s="245">
        <f>розрахунок!D30</f>
        <v>8</v>
      </c>
      <c r="F103" s="245">
        <v>1</v>
      </c>
      <c r="G103" s="246">
        <v>2.9</v>
      </c>
      <c r="H103" s="243">
        <f>E103/10*F103*G103</f>
        <v>2.3199999999999998</v>
      </c>
      <c r="I103" s="222">
        <v>123</v>
      </c>
      <c r="J103" s="527" t="s">
        <v>845</v>
      </c>
      <c r="K103" s="229"/>
    </row>
    <row r="104" spans="1:11" x14ac:dyDescent="0.25">
      <c r="A104" s="189" t="s">
        <v>250</v>
      </c>
      <c r="B104" s="1316" t="s">
        <v>846</v>
      </c>
      <c r="C104" s="1401"/>
      <c r="D104" s="1401"/>
      <c r="E104" s="1401"/>
      <c r="F104" s="1401"/>
      <c r="G104" s="1402"/>
      <c r="H104" s="611"/>
      <c r="I104" s="188"/>
      <c r="J104" s="612"/>
      <c r="K104" s="229"/>
    </row>
    <row r="105" spans="1:11" x14ac:dyDescent="0.25">
      <c r="A105" s="248" t="s">
        <v>847</v>
      </c>
      <c r="B105" s="1354" t="s">
        <v>848</v>
      </c>
      <c r="C105" s="1403"/>
      <c r="D105" s="422" t="s">
        <v>818</v>
      </c>
      <c r="E105" s="245">
        <f>розрахунок!D31</f>
        <v>25</v>
      </c>
      <c r="F105" s="245">
        <v>1</v>
      </c>
      <c r="G105" s="246">
        <v>0.25</v>
      </c>
      <c r="H105" s="243">
        <f>E105*F105*G105</f>
        <v>6.25</v>
      </c>
      <c r="I105" s="222">
        <v>124</v>
      </c>
      <c r="J105" s="527" t="s">
        <v>849</v>
      </c>
      <c r="K105" s="229"/>
    </row>
    <row r="106" spans="1:11" x14ac:dyDescent="0.25">
      <c r="A106" s="248" t="s">
        <v>850</v>
      </c>
      <c r="B106" s="1354" t="s">
        <v>851</v>
      </c>
      <c r="C106" s="1403"/>
      <c r="D106" s="422" t="s">
        <v>818</v>
      </c>
      <c r="E106" s="245">
        <f>розрахунок!D32</f>
        <v>3</v>
      </c>
      <c r="F106" s="245">
        <v>1</v>
      </c>
      <c r="G106" s="246">
        <v>0.55000000000000004</v>
      </c>
      <c r="H106" s="243">
        <f>E106*F106*G106</f>
        <v>1.6500000000000001</v>
      </c>
      <c r="I106" s="222">
        <v>124</v>
      </c>
      <c r="J106" s="527" t="s">
        <v>852</v>
      </c>
      <c r="K106" s="229"/>
    </row>
    <row r="107" spans="1:11" x14ac:dyDescent="0.25">
      <c r="A107" s="248" t="s">
        <v>253</v>
      </c>
      <c r="B107" s="1393" t="s">
        <v>853</v>
      </c>
      <c r="C107" s="1394"/>
      <c r="D107" s="1394"/>
      <c r="E107" s="1394"/>
      <c r="F107" s="1394"/>
      <c r="G107" s="1395"/>
      <c r="H107" s="243"/>
      <c r="I107" s="222"/>
      <c r="J107" s="527"/>
      <c r="K107" s="229"/>
    </row>
    <row r="108" spans="1:11" x14ac:dyDescent="0.25">
      <c r="A108" s="613" t="s">
        <v>854</v>
      </c>
      <c r="B108" s="1320" t="s">
        <v>855</v>
      </c>
      <c r="C108" s="1404"/>
      <c r="D108" s="599" t="s">
        <v>842</v>
      </c>
      <c r="E108" s="614">
        <f>розрахунок!D33</f>
        <v>6</v>
      </c>
      <c r="F108" s="614">
        <v>1</v>
      </c>
      <c r="G108" s="193">
        <v>0.75</v>
      </c>
      <c r="H108" s="243">
        <f>E108/10*F108*G108</f>
        <v>0.44999999999999996</v>
      </c>
      <c r="I108" s="222">
        <v>125</v>
      </c>
      <c r="J108" s="527" t="s">
        <v>856</v>
      </c>
      <c r="K108" s="229"/>
    </row>
    <row r="109" spans="1:11" x14ac:dyDescent="0.25">
      <c r="A109" s="613" t="s">
        <v>857</v>
      </c>
      <c r="B109" s="1320" t="s">
        <v>858</v>
      </c>
      <c r="C109" s="1404"/>
      <c r="D109" s="599" t="s">
        <v>842</v>
      </c>
      <c r="E109" s="614">
        <f>розрахунок!D34</f>
        <v>26</v>
      </c>
      <c r="F109" s="614">
        <v>1</v>
      </c>
      <c r="G109" s="193">
        <v>10.6</v>
      </c>
      <c r="H109" s="243">
        <f>E109/10*F109*G109</f>
        <v>27.56</v>
      </c>
      <c r="I109" s="222">
        <v>125</v>
      </c>
      <c r="J109" s="527" t="s">
        <v>859</v>
      </c>
      <c r="K109" s="229"/>
    </row>
    <row r="110" spans="1:11" x14ac:dyDescent="0.25">
      <c r="A110" s="613" t="s">
        <v>860</v>
      </c>
      <c r="B110" s="1320" t="s">
        <v>861</v>
      </c>
      <c r="C110" s="1404"/>
      <c r="D110" s="599" t="s">
        <v>842</v>
      </c>
      <c r="E110" s="614">
        <f>розрахунок!D35</f>
        <v>0</v>
      </c>
      <c r="F110" s="614">
        <v>1</v>
      </c>
      <c r="G110" s="193">
        <v>3.1</v>
      </c>
      <c r="H110" s="243">
        <f>E110/10*F110*G110</f>
        <v>0</v>
      </c>
      <c r="I110" s="222">
        <v>125</v>
      </c>
      <c r="J110" s="527" t="s">
        <v>862</v>
      </c>
      <c r="K110" s="229"/>
    </row>
    <row r="111" spans="1:11" x14ac:dyDescent="0.25">
      <c r="A111" s="613" t="s">
        <v>863</v>
      </c>
      <c r="B111" s="1329" t="s">
        <v>864</v>
      </c>
      <c r="C111" s="1415"/>
      <c r="D111" s="615" t="s">
        <v>865</v>
      </c>
      <c r="E111" s="614">
        <f>розрахунок!D36</f>
        <v>720</v>
      </c>
      <c r="F111" s="614">
        <v>1</v>
      </c>
      <c r="G111" s="535">
        <v>5.6</v>
      </c>
      <c r="H111" s="243">
        <f>E111/10*F111*G111</f>
        <v>403.2</v>
      </c>
      <c r="I111" s="222">
        <v>131</v>
      </c>
      <c r="J111" s="222" t="s">
        <v>866</v>
      </c>
      <c r="K111" s="229"/>
    </row>
    <row r="112" spans="1:11" x14ac:dyDescent="0.25">
      <c r="A112" s="248"/>
      <c r="B112" s="1416" t="s">
        <v>602</v>
      </c>
      <c r="C112" s="1222"/>
      <c r="D112" s="616"/>
      <c r="E112" s="213"/>
      <c r="F112" s="212"/>
      <c r="G112" s="617"/>
      <c r="H112" s="211">
        <f>SUM(H88:H111)</f>
        <v>505.74</v>
      </c>
      <c r="I112" s="222"/>
      <c r="J112" s="527"/>
      <c r="K112" s="229"/>
    </row>
    <row r="113" spans="1:11" x14ac:dyDescent="0.25">
      <c r="A113" s="604"/>
      <c r="B113" s="605"/>
      <c r="C113" s="31"/>
      <c r="D113" s="606"/>
      <c r="E113" s="607"/>
      <c r="F113" s="607"/>
      <c r="G113" s="608"/>
      <c r="H113" s="609"/>
      <c r="I113" s="610"/>
      <c r="J113" s="610"/>
      <c r="K113" s="229"/>
    </row>
    <row r="114" spans="1:11" x14ac:dyDescent="0.25">
      <c r="A114" s="1408" t="s">
        <v>603</v>
      </c>
      <c r="B114" s="1409"/>
      <c r="C114" s="1409"/>
      <c r="D114" s="1409"/>
      <c r="E114" s="1409"/>
      <c r="F114" s="1409"/>
      <c r="G114" s="1409"/>
      <c r="H114" s="1409"/>
      <c r="I114" s="1409"/>
      <c r="J114" s="1409"/>
      <c r="K114" s="229"/>
    </row>
    <row r="115" spans="1:11" ht="76.5" x14ac:dyDescent="0.25">
      <c r="A115" s="1410" t="s">
        <v>181</v>
      </c>
      <c r="B115" s="1411"/>
      <c r="C115" s="441" t="s">
        <v>259</v>
      </c>
      <c r="D115" s="1412" t="s">
        <v>260</v>
      </c>
      <c r="E115" s="1243"/>
      <c r="F115" s="442" t="s">
        <v>604</v>
      </c>
      <c r="G115" s="443" t="s">
        <v>868</v>
      </c>
      <c r="H115" s="442" t="s">
        <v>605</v>
      </c>
      <c r="I115" s="442" t="s">
        <v>606</v>
      </c>
      <c r="J115" s="1413" t="s">
        <v>978</v>
      </c>
      <c r="K115" s="1243"/>
    </row>
    <row r="116" spans="1:11" x14ac:dyDescent="0.25">
      <c r="A116" s="1413">
        <v>1</v>
      </c>
      <c r="B116" s="1411"/>
      <c r="C116" s="444">
        <v>2</v>
      </c>
      <c r="D116" s="1414">
        <v>3</v>
      </c>
      <c r="E116" s="849"/>
      <c r="F116" s="445">
        <v>4</v>
      </c>
      <c r="G116" s="446">
        <v>5</v>
      </c>
      <c r="H116" s="445">
        <v>6</v>
      </c>
      <c r="I116" s="445">
        <v>7</v>
      </c>
      <c r="J116" s="1414">
        <v>8</v>
      </c>
      <c r="K116" s="1256"/>
    </row>
    <row r="117" spans="1:11" x14ac:dyDescent="0.25">
      <c r="A117" s="1405" t="s">
        <v>191</v>
      </c>
      <c r="B117" s="1405"/>
      <c r="C117" s="447">
        <f>I83</f>
        <v>544.87806399999988</v>
      </c>
      <c r="D117" s="1406">
        <f>K23</f>
        <v>1987</v>
      </c>
      <c r="E117" s="859"/>
      <c r="F117" s="448">
        <f>C117/D117</f>
        <v>0.27422147156517357</v>
      </c>
      <c r="G117" s="449">
        <f>оклади!K9</f>
        <v>10834</v>
      </c>
      <c r="H117" s="449">
        <f>F117*G117</f>
        <v>2970.9154229370906</v>
      </c>
      <c r="I117" s="449">
        <f>H117*0.25</f>
        <v>742.72885573427266</v>
      </c>
      <c r="J117" s="1407">
        <f>H117*1.0734+I117</f>
        <v>3931.7094707149454</v>
      </c>
      <c r="K117" s="1256"/>
    </row>
    <row r="118" spans="1:11" x14ac:dyDescent="0.25">
      <c r="A118" s="1405" t="s">
        <v>308</v>
      </c>
      <c r="B118" s="1405"/>
      <c r="C118" s="447">
        <f>H112</f>
        <v>505.74</v>
      </c>
      <c r="D118" s="1417">
        <f>K23</f>
        <v>1987</v>
      </c>
      <c r="E118" s="753"/>
      <c r="F118" s="448">
        <f>C118/D118</f>
        <v>0.25452440865626574</v>
      </c>
      <c r="G118" s="449">
        <f>оклади!K9</f>
        <v>10834</v>
      </c>
      <c r="H118" s="449">
        <f>F118*G118</f>
        <v>2757.517443381983</v>
      </c>
      <c r="I118" s="449">
        <f>H118*0.25</f>
        <v>689.37936084549574</v>
      </c>
      <c r="J118" s="1396">
        <f>H118*1.0734+I118</f>
        <v>3649.2985845717162</v>
      </c>
      <c r="K118" s="1397"/>
    </row>
    <row r="119" spans="1:11" x14ac:dyDescent="0.25">
      <c r="A119" s="398"/>
      <c r="B119" s="438"/>
      <c r="C119" s="438"/>
      <c r="D119" s="438"/>
      <c r="E119" s="439"/>
      <c r="F119" s="229"/>
      <c r="G119" s="229"/>
      <c r="H119" s="229"/>
      <c r="I119" s="440"/>
      <c r="J119" s="229"/>
      <c r="K119" s="229"/>
    </row>
    <row r="120" spans="1:11" x14ac:dyDescent="0.25">
      <c r="A120" s="1418" t="s">
        <v>607</v>
      </c>
      <c r="B120" s="1418"/>
      <c r="C120" s="1418"/>
      <c r="D120" s="1418"/>
      <c r="E120" s="1418"/>
      <c r="F120" s="1418"/>
      <c r="G120" s="1418"/>
      <c r="H120" s="1418"/>
      <c r="I120" s="1418"/>
      <c r="J120" s="1418"/>
      <c r="K120" s="1418"/>
    </row>
    <row r="121" spans="1:11" ht="132" x14ac:dyDescent="0.25">
      <c r="A121" s="1244" t="s">
        <v>266</v>
      </c>
      <c r="B121" s="1302"/>
      <c r="C121" s="1244" t="s">
        <v>267</v>
      </c>
      <c r="D121" s="1303"/>
      <c r="E121" s="1243"/>
      <c r="F121" s="1244" t="s">
        <v>479</v>
      </c>
      <c r="G121" s="1243"/>
      <c r="H121" s="220" t="s">
        <v>269</v>
      </c>
      <c r="I121" s="1244" t="s">
        <v>608</v>
      </c>
      <c r="J121" s="1304"/>
      <c r="K121" s="220" t="s">
        <v>609</v>
      </c>
    </row>
    <row r="122" spans="1:11" x14ac:dyDescent="0.25">
      <c r="A122" s="1244">
        <v>1</v>
      </c>
      <c r="B122" s="1302"/>
      <c r="C122" s="1244">
        <v>2</v>
      </c>
      <c r="D122" s="1303"/>
      <c r="E122" s="1304"/>
      <c r="F122" s="1244">
        <v>3</v>
      </c>
      <c r="G122" s="1304"/>
      <c r="H122" s="221">
        <v>4</v>
      </c>
      <c r="I122" s="1244">
        <v>5</v>
      </c>
      <c r="J122" s="1304"/>
      <c r="K122" s="220">
        <v>6</v>
      </c>
    </row>
    <row r="123" spans="1:11" ht="38.450000000000003" customHeight="1" x14ac:dyDescent="0.25">
      <c r="A123" s="1283" t="s">
        <v>272</v>
      </c>
      <c r="B123" s="1305"/>
      <c r="C123" s="1299">
        <f>прибирання!C49</f>
        <v>2502571.37</v>
      </c>
      <c r="D123" s="1299"/>
      <c r="E123" s="1269"/>
      <c r="F123" s="1273">
        <f>прибирання!D49</f>
        <v>5976607.4800000004</v>
      </c>
      <c r="G123" s="1273"/>
      <c r="H123" s="450">
        <f>C123/F123*100</f>
        <v>41.872774452305173</v>
      </c>
      <c r="I123" s="1281">
        <f>J117+J118</f>
        <v>7581.0080552866621</v>
      </c>
      <c r="J123" s="1306"/>
      <c r="K123" s="232">
        <f>H123*I123/100</f>
        <v>3174.3784042012708</v>
      </c>
    </row>
    <row r="124" spans="1:11" ht="31.9" customHeight="1" x14ac:dyDescent="0.25">
      <c r="A124" s="1283" t="s">
        <v>273</v>
      </c>
      <c r="B124" s="1305"/>
      <c r="C124" s="1299">
        <f>прибирання!C50</f>
        <v>4320090.5999999996</v>
      </c>
      <c r="D124" s="1299"/>
      <c r="E124" s="1269"/>
      <c r="F124" s="1273">
        <f>прибирання!D50</f>
        <v>24679377</v>
      </c>
      <c r="G124" s="1273"/>
      <c r="H124" s="450">
        <f>C124/F124*100</f>
        <v>17.504860839882628</v>
      </c>
      <c r="I124" s="1281">
        <f>J10+J11+J13+J14+K123+J15</f>
        <v>30566.528231650998</v>
      </c>
      <c r="J124" s="1306"/>
      <c r="K124" s="232">
        <f>H124*I124/100</f>
        <v>5350.6282305339437</v>
      </c>
    </row>
    <row r="125" spans="1:11" ht="31.9" customHeight="1" x14ac:dyDescent="0.25">
      <c r="A125" s="1283" t="s">
        <v>976</v>
      </c>
      <c r="B125" s="1280"/>
      <c r="C125" s="1299">
        <f>прибирання!C51</f>
        <v>248044.38</v>
      </c>
      <c r="D125" s="1299"/>
      <c r="E125" s="1269"/>
      <c r="F125" s="1273">
        <f>прибирання!D51</f>
        <v>13482135.970000001</v>
      </c>
      <c r="G125" s="1273"/>
      <c r="H125" s="450">
        <f>C125/F125*100</f>
        <v>1.839800314667795</v>
      </c>
      <c r="I125" s="1281">
        <f>J10+J11+J13+J14+K123+J15</f>
        <v>30566.528231650998</v>
      </c>
      <c r="J125" s="1315"/>
      <c r="K125" s="232">
        <f>H125*I125/100</f>
        <v>562.36308258893553</v>
      </c>
    </row>
    <row r="126" spans="1:11" ht="24.6" customHeight="1" x14ac:dyDescent="0.25">
      <c r="A126" s="1311" t="s">
        <v>274</v>
      </c>
      <c r="B126" s="1312"/>
      <c r="C126" s="1301"/>
      <c r="D126" s="1301"/>
      <c r="E126" s="1277"/>
      <c r="F126" s="1279"/>
      <c r="G126" s="1279"/>
      <c r="H126" s="451"/>
      <c r="I126" s="1313"/>
      <c r="J126" s="1314"/>
      <c r="K126" s="394">
        <f>SUM(K123:K125)</f>
        <v>9087.3697173241508</v>
      </c>
    </row>
    <row r="127" spans="1:11" x14ac:dyDescent="0.25">
      <c r="A127" s="140"/>
      <c r="B127" s="140"/>
      <c r="C127" s="140"/>
      <c r="D127" s="140"/>
      <c r="E127" s="140"/>
      <c r="F127" s="140"/>
      <c r="G127" s="140"/>
      <c r="H127" s="140"/>
      <c r="I127" s="140"/>
      <c r="J127" s="140"/>
      <c r="K127" s="140"/>
    </row>
    <row r="128" spans="1:11" ht="51.75" x14ac:dyDescent="0.25">
      <c r="A128" s="1262" t="s">
        <v>610</v>
      </c>
      <c r="B128" s="1262"/>
      <c r="C128" s="1262"/>
      <c r="D128" s="452" t="s">
        <v>611</v>
      </c>
      <c r="E128" s="453" t="s">
        <v>612</v>
      </c>
      <c r="F128" s="454" t="s">
        <v>613</v>
      </c>
      <c r="G128" s="453" t="s">
        <v>614</v>
      </c>
      <c r="H128" s="1419" t="s">
        <v>615</v>
      </c>
      <c r="I128" s="1419"/>
      <c r="J128" s="453" t="s">
        <v>616</v>
      </c>
      <c r="K128" s="140"/>
    </row>
    <row r="129" spans="1:12" x14ac:dyDescent="0.25">
      <c r="A129" s="1420">
        <v>1</v>
      </c>
      <c r="B129" s="1420"/>
      <c r="C129" s="1420"/>
      <c r="D129" s="455">
        <v>2</v>
      </c>
      <c r="E129" s="455">
        <v>3</v>
      </c>
      <c r="F129" s="455">
        <v>4</v>
      </c>
      <c r="G129" s="455">
        <v>5</v>
      </c>
      <c r="H129" s="1262">
        <v>6</v>
      </c>
      <c r="I129" s="1262"/>
      <c r="J129" s="455">
        <v>7</v>
      </c>
      <c r="K129" s="140"/>
    </row>
    <row r="130" spans="1:12" x14ac:dyDescent="0.25">
      <c r="A130" s="1308" t="s">
        <v>617</v>
      </c>
      <c r="B130" s="1308"/>
      <c r="C130" s="1308"/>
      <c r="D130" s="397">
        <v>0.5</v>
      </c>
      <c r="E130" s="397">
        <f>E77+E78</f>
        <v>32</v>
      </c>
      <c r="F130" s="397">
        <v>59</v>
      </c>
      <c r="G130" s="397">
        <f>D130*E130*F130</f>
        <v>944</v>
      </c>
      <c r="H130" s="1307">
        <f>G130/12</f>
        <v>78.666666666666671</v>
      </c>
      <c r="I130" s="1307"/>
      <c r="J130" s="456" t="s">
        <v>618</v>
      </c>
      <c r="K130" s="140"/>
    </row>
    <row r="131" spans="1:12" x14ac:dyDescent="0.25">
      <c r="A131" s="1308" t="s">
        <v>980</v>
      </c>
      <c r="B131" s="1308"/>
      <c r="C131" s="1308"/>
      <c r="D131" s="458">
        <v>0.05</v>
      </c>
      <c r="E131" s="457">
        <f>E79</f>
        <v>24</v>
      </c>
      <c r="F131" s="397">
        <v>0.35</v>
      </c>
      <c r="G131" s="397">
        <f t="shared" ref="G131:G135" si="4">D131*E131*F131</f>
        <v>0.42000000000000004</v>
      </c>
      <c r="H131" s="1309">
        <f>G131/12</f>
        <v>3.5000000000000003E-2</v>
      </c>
      <c r="I131" s="1310"/>
      <c r="J131" s="400" t="s">
        <v>589</v>
      </c>
      <c r="K131" s="140"/>
      <c r="L131" t="s">
        <v>979</v>
      </c>
    </row>
    <row r="132" spans="1:12" x14ac:dyDescent="0.25">
      <c r="A132" s="1308" t="s">
        <v>869</v>
      </c>
      <c r="B132" s="1308"/>
      <c r="C132" s="1308"/>
      <c r="D132" s="457">
        <f>E88+E108</f>
        <v>9</v>
      </c>
      <c r="E132" s="457">
        <f>D132</f>
        <v>9</v>
      </c>
      <c r="F132" s="397">
        <v>34.57</v>
      </c>
      <c r="G132" s="397">
        <f>D132*F132</f>
        <v>311.13</v>
      </c>
      <c r="H132" s="1307">
        <f>G132/12</f>
        <v>25.927499999999998</v>
      </c>
      <c r="I132" s="1307"/>
      <c r="J132" s="455" t="s">
        <v>808</v>
      </c>
    </row>
    <row r="133" spans="1:12" x14ac:dyDescent="0.25">
      <c r="A133" s="1308" t="s">
        <v>870</v>
      </c>
      <c r="B133" s="1308"/>
      <c r="C133" s="1308"/>
      <c r="D133" s="397"/>
      <c r="E133" s="457">
        <f>E96</f>
        <v>21</v>
      </c>
      <c r="F133" s="397">
        <v>4.0999999999999996</v>
      </c>
      <c r="G133" s="397">
        <f>E133*F133</f>
        <v>86.1</v>
      </c>
      <c r="H133" s="1307">
        <f t="shared" ref="H133:H140" si="5">G133/12</f>
        <v>7.1749999999999998</v>
      </c>
      <c r="I133" s="1307"/>
      <c r="J133" s="400" t="s">
        <v>830</v>
      </c>
    </row>
    <row r="134" spans="1:12" x14ac:dyDescent="0.25">
      <c r="A134" s="1308" t="s">
        <v>871</v>
      </c>
      <c r="B134" s="1308"/>
      <c r="C134" s="1308"/>
      <c r="D134" s="397"/>
      <c r="E134" s="457">
        <f>E97</f>
        <v>17</v>
      </c>
      <c r="F134" s="397">
        <v>5.82</v>
      </c>
      <c r="G134" s="397">
        <f>E134*F134</f>
        <v>98.94</v>
      </c>
      <c r="H134" s="1307">
        <f t="shared" si="5"/>
        <v>8.2449999999999992</v>
      </c>
      <c r="I134" s="1307"/>
      <c r="J134" s="400" t="s">
        <v>833</v>
      </c>
    </row>
    <row r="135" spans="1:12" x14ac:dyDescent="0.25">
      <c r="A135" s="1308" t="s">
        <v>878</v>
      </c>
      <c r="B135" s="1308"/>
      <c r="C135" s="1308"/>
      <c r="D135" s="457">
        <f>E99</f>
        <v>160</v>
      </c>
      <c r="E135" s="397">
        <v>0.5</v>
      </c>
      <c r="F135" s="397">
        <v>23.03</v>
      </c>
      <c r="G135" s="397">
        <f t="shared" si="4"/>
        <v>1842.4</v>
      </c>
      <c r="H135" s="1307">
        <f t="shared" si="5"/>
        <v>153.53333333333333</v>
      </c>
      <c r="I135" s="1307"/>
      <c r="J135" s="455" t="s">
        <v>836</v>
      </c>
    </row>
    <row r="136" spans="1:12" x14ac:dyDescent="0.25">
      <c r="A136" s="1308" t="s">
        <v>872</v>
      </c>
      <c r="B136" s="1308"/>
      <c r="C136" s="1308"/>
      <c r="D136" s="397"/>
      <c r="E136" s="457">
        <f>E102</f>
        <v>8</v>
      </c>
      <c r="F136" s="397">
        <v>9.68</v>
      </c>
      <c r="G136" s="397">
        <f>E136*F136</f>
        <v>77.44</v>
      </c>
      <c r="H136" s="1307">
        <f t="shared" si="5"/>
        <v>6.4533333333333331</v>
      </c>
      <c r="I136" s="1307"/>
      <c r="J136" s="455" t="s">
        <v>843</v>
      </c>
    </row>
    <row r="137" spans="1:12" x14ac:dyDescent="0.25">
      <c r="A137" s="1308" t="s">
        <v>872</v>
      </c>
      <c r="B137" s="1308"/>
      <c r="C137" s="1308"/>
      <c r="D137" s="397"/>
      <c r="E137" s="457">
        <f>E103</f>
        <v>8</v>
      </c>
      <c r="F137" s="397">
        <v>9.68</v>
      </c>
      <c r="G137" s="397">
        <f t="shared" ref="G137:G140" si="6">E137*F137</f>
        <v>77.44</v>
      </c>
      <c r="H137" s="1307">
        <f t="shared" si="5"/>
        <v>6.4533333333333331</v>
      </c>
      <c r="I137" s="1307"/>
      <c r="J137" s="455" t="s">
        <v>845</v>
      </c>
    </row>
    <row r="138" spans="1:12" x14ac:dyDescent="0.25">
      <c r="A138" s="1308" t="s">
        <v>873</v>
      </c>
      <c r="B138" s="1308"/>
      <c r="C138" s="1308"/>
      <c r="D138" s="600"/>
      <c r="E138" s="618">
        <f>E106</f>
        <v>3</v>
      </c>
      <c r="F138" s="494">
        <v>31.75</v>
      </c>
      <c r="G138" s="397">
        <f t="shared" si="6"/>
        <v>95.25</v>
      </c>
      <c r="H138" s="1307">
        <f t="shared" si="5"/>
        <v>7.9375</v>
      </c>
      <c r="I138" s="1307"/>
      <c r="J138" s="455" t="s">
        <v>874</v>
      </c>
    </row>
    <row r="139" spans="1:12" x14ac:dyDescent="0.25">
      <c r="A139" s="1308" t="s">
        <v>875</v>
      </c>
      <c r="B139" s="1308"/>
      <c r="C139" s="1308"/>
      <c r="D139" s="1426">
        <f>E117</f>
        <v>0</v>
      </c>
      <c r="E139" s="457">
        <f>E109</f>
        <v>26</v>
      </c>
      <c r="F139" s="397">
        <v>76.67</v>
      </c>
      <c r="G139" s="397">
        <f t="shared" si="6"/>
        <v>1993.42</v>
      </c>
      <c r="H139" s="1307">
        <f t="shared" si="5"/>
        <v>166.11833333333334</v>
      </c>
      <c r="I139" s="1307"/>
      <c r="J139" s="1262" t="s">
        <v>859</v>
      </c>
    </row>
    <row r="140" spans="1:12" x14ac:dyDescent="0.25">
      <c r="A140" s="1308" t="s">
        <v>876</v>
      </c>
      <c r="B140" s="1308"/>
      <c r="C140" s="1308"/>
      <c r="D140" s="1262"/>
      <c r="E140" s="457"/>
      <c r="F140" s="397">
        <v>34.68</v>
      </c>
      <c r="G140" s="397">
        <f t="shared" si="6"/>
        <v>0</v>
      </c>
      <c r="H140" s="1420">
        <f t="shared" si="5"/>
        <v>0</v>
      </c>
      <c r="I140" s="1420"/>
      <c r="J140" s="1262"/>
    </row>
    <row r="141" spans="1:12" x14ac:dyDescent="0.25">
      <c r="A141" s="1423" t="s">
        <v>877</v>
      </c>
      <c r="B141" s="1423"/>
      <c r="C141" s="1423"/>
      <c r="D141" s="201"/>
      <c r="E141" s="201"/>
      <c r="F141" s="201"/>
      <c r="G141" s="201"/>
      <c r="H141" s="1424">
        <f>SUM(H130:H140)</f>
        <v>460.54499999999996</v>
      </c>
      <c r="I141" s="1425"/>
      <c r="J141" s="201"/>
    </row>
    <row r="142" spans="1:12" x14ac:dyDescent="0.25">
      <c r="A142" s="641" t="s">
        <v>890</v>
      </c>
      <c r="B142" s="641"/>
      <c r="C142" s="641"/>
      <c r="D142" s="641"/>
      <c r="E142" s="641"/>
      <c r="F142" s="641"/>
      <c r="G142" s="641"/>
      <c r="H142" s="641"/>
      <c r="I142" s="641"/>
    </row>
    <row r="143" spans="1:12" ht="90" x14ac:dyDescent="0.25">
      <c r="A143" s="642" t="s">
        <v>8</v>
      </c>
      <c r="B143" s="1421" t="s">
        <v>891</v>
      </c>
      <c r="C143" s="1421"/>
      <c r="D143" s="1421"/>
      <c r="E143" s="1421"/>
      <c r="F143" s="1421"/>
      <c r="G143" s="1421"/>
      <c r="H143" s="642" t="s">
        <v>892</v>
      </c>
      <c r="I143" s="642" t="s">
        <v>893</v>
      </c>
    </row>
    <row r="144" spans="1:12" x14ac:dyDescent="0.25">
      <c r="A144" s="643">
        <v>1</v>
      </c>
      <c r="B144" s="1422" t="s">
        <v>894</v>
      </c>
      <c r="C144" s="1422"/>
      <c r="D144" s="1422"/>
      <c r="E144" s="1422"/>
      <c r="F144" s="1422"/>
      <c r="G144" s="1422"/>
      <c r="H144" s="234">
        <v>20422.830000000002</v>
      </c>
      <c r="I144" s="236">
        <f>ROUND(H144/12,2)</f>
        <v>1701.9</v>
      </c>
    </row>
  </sheetData>
  <mergeCells count="249">
    <mergeCell ref="B143:G143"/>
    <mergeCell ref="B144:G144"/>
    <mergeCell ref="J139:J140"/>
    <mergeCell ref="A140:C140"/>
    <mergeCell ref="H140:I140"/>
    <mergeCell ref="A141:C141"/>
    <mergeCell ref="H141:I141"/>
    <mergeCell ref="A136:C136"/>
    <mergeCell ref="H136:I136"/>
    <mergeCell ref="A137:C137"/>
    <mergeCell ref="H137:I137"/>
    <mergeCell ref="A138:C138"/>
    <mergeCell ref="H138:I138"/>
    <mergeCell ref="A139:C139"/>
    <mergeCell ref="D139:D140"/>
    <mergeCell ref="H139:I139"/>
    <mergeCell ref="A132:C132"/>
    <mergeCell ref="H132:I132"/>
    <mergeCell ref="A133:C133"/>
    <mergeCell ref="H133:I133"/>
    <mergeCell ref="A134:C134"/>
    <mergeCell ref="H134:I134"/>
    <mergeCell ref="A135:C135"/>
    <mergeCell ref="H135:I135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8:C128"/>
    <mergeCell ref="H128:I128"/>
    <mergeCell ref="A129:C129"/>
    <mergeCell ref="H129:I129"/>
    <mergeCell ref="A130:C130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1:C131"/>
    <mergeCell ref="H131:I131"/>
    <mergeCell ref="A124:B124"/>
    <mergeCell ref="C124:E124"/>
    <mergeCell ref="F124:G124"/>
    <mergeCell ref="I124:J124"/>
    <mergeCell ref="A126:B126"/>
    <mergeCell ref="C126:E126"/>
    <mergeCell ref="F126:G126"/>
    <mergeCell ref="I126:J126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30:I130"/>
  </mergeCells>
  <pageMargins left="0.7" right="0.7" top="0.75" bottom="0.75" header="0.3" footer="0.3"/>
  <pageSetup paperSize="9" scale="83" orientation="portrait" r:id="rId1"/>
  <rowBreaks count="2" manualBreakCount="2">
    <brk id="60" max="10" man="1"/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5"/>
  <sheetViews>
    <sheetView view="pageBreakPreview" topLeftCell="A45" zoomScale="96" zoomScaleNormal="100" zoomScaleSheetLayoutView="96" workbookViewId="0">
      <selection activeCell="H36" sqref="H36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 xml:space="preserve">   м. Канів     Шевченка      47</v>
      </c>
      <c r="F1" s="1189" t="s">
        <v>204</v>
      </c>
      <c r="G1" s="1189"/>
      <c r="H1" s="1189"/>
      <c r="I1" s="1189"/>
    </row>
    <row r="2" spans="1:10" x14ac:dyDescent="0.25">
      <c r="F2" s="1189" t="s">
        <v>99</v>
      </c>
      <c r="G2" s="1189"/>
      <c r="H2" s="1189"/>
      <c r="I2" s="1189"/>
    </row>
    <row r="3" spans="1:10" x14ac:dyDescent="0.25">
      <c r="F3" s="1193" t="s">
        <v>619</v>
      </c>
      <c r="G3" s="1193"/>
      <c r="H3" s="1193"/>
      <c r="I3" s="1193"/>
    </row>
    <row r="4" spans="1:10" x14ac:dyDescent="0.25">
      <c r="F4" s="241"/>
      <c r="G4" s="242"/>
      <c r="H4" s="1190" t="s">
        <v>283</v>
      </c>
      <c r="I4" s="1190"/>
    </row>
    <row r="6" spans="1:10" x14ac:dyDescent="0.25">
      <c r="A6" s="1191" t="s">
        <v>287</v>
      </c>
      <c r="B6" s="1191"/>
      <c r="C6" s="1191"/>
      <c r="D6" s="1191"/>
      <c r="E6" s="1191"/>
      <c r="F6" s="1191"/>
      <c r="G6" s="1191"/>
      <c r="H6" s="1191"/>
      <c r="I6" s="1191"/>
      <c r="J6" s="1191"/>
    </row>
    <row r="7" spans="1:10" x14ac:dyDescent="0.25">
      <c r="A7" s="140"/>
      <c r="B7" s="1191" t="s">
        <v>899</v>
      </c>
      <c r="C7" s="1476"/>
      <c r="D7" s="1476"/>
      <c r="E7" s="1477"/>
      <c r="F7" s="1477"/>
      <c r="G7" s="1477"/>
      <c r="H7" s="1477"/>
      <c r="I7" s="1477"/>
    </row>
    <row r="8" spans="1:10" ht="15.75" x14ac:dyDescent="0.25">
      <c r="A8" s="140"/>
      <c r="B8" s="468"/>
      <c r="C8" s="172"/>
      <c r="D8" s="172"/>
      <c r="E8" s="140"/>
      <c r="F8" s="140"/>
      <c r="G8" s="140"/>
      <c r="H8" s="140"/>
      <c r="I8" s="140"/>
    </row>
    <row r="9" spans="1:10" x14ac:dyDescent="0.25">
      <c r="A9" s="1478" t="s">
        <v>898</v>
      </c>
      <c r="B9" s="1479"/>
      <c r="C9" s="1479"/>
      <c r="D9" s="1479"/>
      <c r="E9" s="1479"/>
      <c r="F9" s="1479"/>
      <c r="G9" s="1479"/>
      <c r="H9" s="1479"/>
      <c r="I9" s="1479"/>
    </row>
    <row r="10" spans="1:10" ht="25.5" x14ac:dyDescent="0.25">
      <c r="A10" s="469" t="s">
        <v>206</v>
      </c>
      <c r="B10" s="1480" t="s">
        <v>207</v>
      </c>
      <c r="C10" s="1481"/>
      <c r="D10" s="1482"/>
      <c r="E10" s="470" t="s">
        <v>208</v>
      </c>
      <c r="F10" s="1483" t="s">
        <v>209</v>
      </c>
      <c r="G10" s="1484"/>
      <c r="H10" s="1485" t="s">
        <v>476</v>
      </c>
      <c r="I10" s="1486"/>
    </row>
    <row r="11" spans="1:10" x14ac:dyDescent="0.25">
      <c r="A11" s="209">
        <v>1</v>
      </c>
      <c r="B11" s="1172" t="s">
        <v>644</v>
      </c>
      <c r="C11" s="1454"/>
      <c r="D11" s="1455"/>
      <c r="E11" s="454" t="s">
        <v>172</v>
      </c>
      <c r="F11" s="1472">
        <f>H11*12</f>
        <v>8946.7345343999987</v>
      </c>
      <c r="G11" s="1473"/>
      <c r="H11" s="1474">
        <f>I37</f>
        <v>745.56121119999989</v>
      </c>
      <c r="I11" s="1475"/>
    </row>
    <row r="12" spans="1:10" ht="30" customHeight="1" x14ac:dyDescent="0.25">
      <c r="A12" s="141">
        <v>2</v>
      </c>
      <c r="B12" s="1172" t="s">
        <v>881</v>
      </c>
      <c r="C12" s="1454"/>
      <c r="D12" s="1455"/>
      <c r="E12" s="454" t="s">
        <v>172</v>
      </c>
      <c r="F12" s="1472">
        <f>H12*12</f>
        <v>1968.2815975679996</v>
      </c>
      <c r="G12" s="1473"/>
      <c r="H12" s="1474">
        <f>I36*розрахунок!D40/100</f>
        <v>164.02346646399997</v>
      </c>
      <c r="I12" s="1475"/>
    </row>
    <row r="13" spans="1:10" x14ac:dyDescent="0.25">
      <c r="A13" s="209">
        <v>3</v>
      </c>
      <c r="B13" s="1172" t="s">
        <v>486</v>
      </c>
      <c r="C13" s="1454"/>
      <c r="D13" s="1455"/>
      <c r="E13" s="454" t="s">
        <v>172</v>
      </c>
      <c r="F13" s="1472">
        <f>H13*12</f>
        <v>6605.7156828187526</v>
      </c>
      <c r="G13" s="1473"/>
      <c r="H13" s="1474">
        <f>H45</f>
        <v>550.47630690156268</v>
      </c>
      <c r="I13" s="1475"/>
    </row>
    <row r="14" spans="1:10" x14ac:dyDescent="0.25">
      <c r="A14" s="209">
        <v>4</v>
      </c>
      <c r="B14" s="1172" t="s">
        <v>622</v>
      </c>
      <c r="C14" s="1454"/>
      <c r="D14" s="1455"/>
      <c r="E14" s="454" t="s">
        <v>172</v>
      </c>
      <c r="F14" s="1472">
        <f>H14*12</f>
        <v>120.43754666666666</v>
      </c>
      <c r="G14" s="1473"/>
      <c r="H14" s="1474">
        <f>інвентар!I13</f>
        <v>10.036462222222221</v>
      </c>
      <c r="I14" s="1475"/>
    </row>
    <row r="15" spans="1:10" x14ac:dyDescent="0.25">
      <c r="A15" s="209">
        <v>5</v>
      </c>
      <c r="B15" s="1172" t="s">
        <v>474</v>
      </c>
      <c r="C15" s="1454"/>
      <c r="D15" s="1455"/>
      <c r="E15" s="454" t="s">
        <v>172</v>
      </c>
      <c r="F15" s="1472">
        <f>H15*12</f>
        <v>0</v>
      </c>
      <c r="G15" s="1473"/>
      <c r="H15" s="1474">
        <v>0</v>
      </c>
      <c r="I15" s="1475"/>
    </row>
    <row r="16" spans="1:10" hidden="1" x14ac:dyDescent="0.25">
      <c r="A16" s="209">
        <v>6</v>
      </c>
      <c r="B16" s="1172" t="s">
        <v>645</v>
      </c>
      <c r="C16" s="1454"/>
      <c r="D16" s="1455"/>
      <c r="E16" s="454" t="s">
        <v>159</v>
      </c>
      <c r="F16" s="1464">
        <f>[1]Таблица_Характеристика!N94</f>
        <v>0</v>
      </c>
      <c r="G16" s="1465"/>
      <c r="H16" s="1466"/>
      <c r="I16" s="1467"/>
    </row>
    <row r="17" spans="1:9" hidden="1" x14ac:dyDescent="0.25">
      <c r="A17" s="209">
        <v>7</v>
      </c>
      <c r="B17" s="1172" t="s">
        <v>646</v>
      </c>
      <c r="C17" s="1454"/>
      <c r="D17" s="1455"/>
      <c r="E17" s="454" t="s">
        <v>159</v>
      </c>
      <c r="F17" s="1464">
        <f>розрахунок!D38</f>
        <v>1100</v>
      </c>
      <c r="G17" s="1465"/>
      <c r="H17" s="1466"/>
      <c r="I17" s="1467"/>
    </row>
    <row r="18" spans="1:9" x14ac:dyDescent="0.25">
      <c r="A18" s="209">
        <v>8</v>
      </c>
      <c r="B18" s="1172" t="s">
        <v>647</v>
      </c>
      <c r="C18" s="1454"/>
      <c r="D18" s="1455"/>
      <c r="E18" s="454" t="s">
        <v>159</v>
      </c>
      <c r="F18" s="1464">
        <f>Характеристика!N89</f>
        <v>261</v>
      </c>
      <c r="G18" s="1465"/>
      <c r="H18" s="1466"/>
      <c r="I18" s="1467"/>
    </row>
    <row r="19" spans="1:9" x14ac:dyDescent="0.25">
      <c r="A19" s="209">
        <v>9</v>
      </c>
      <c r="B19" s="1172" t="s">
        <v>648</v>
      </c>
      <c r="C19" s="1454"/>
      <c r="D19" s="1455"/>
      <c r="E19" s="454" t="s">
        <v>159</v>
      </c>
      <c r="F19" s="1464">
        <f>розрахунок!D39</f>
        <v>5000</v>
      </c>
      <c r="G19" s="1465"/>
      <c r="H19" s="1466"/>
      <c r="I19" s="1467"/>
    </row>
    <row r="20" spans="1:9" ht="25.9" hidden="1" customHeight="1" x14ac:dyDescent="0.25">
      <c r="A20" s="209">
        <v>10</v>
      </c>
      <c r="B20" s="1172" t="s">
        <v>623</v>
      </c>
      <c r="C20" s="1454"/>
      <c r="D20" s="1455"/>
      <c r="E20" s="454" t="s">
        <v>172</v>
      </c>
      <c r="F20" s="1468">
        <f>H20*12</f>
        <v>0</v>
      </c>
      <c r="G20" s="1469"/>
      <c r="H20" s="1470"/>
      <c r="I20" s="1471"/>
    </row>
    <row r="21" spans="1:9" ht="27.6" hidden="1" customHeight="1" x14ac:dyDescent="0.25">
      <c r="A21" s="209">
        <v>11</v>
      </c>
      <c r="B21" s="1172" t="s">
        <v>624</v>
      </c>
      <c r="C21" s="1454"/>
      <c r="D21" s="1455"/>
      <c r="E21" s="454" t="s">
        <v>172</v>
      </c>
      <c r="F21" s="1456">
        <f>H21*12</f>
        <v>0</v>
      </c>
      <c r="G21" s="1457"/>
      <c r="H21" s="1458"/>
      <c r="I21" s="1459"/>
    </row>
    <row r="22" spans="1:9" ht="44.45" hidden="1" customHeight="1" x14ac:dyDescent="0.25">
      <c r="A22" s="209">
        <v>12</v>
      </c>
      <c r="B22" s="1172" t="s">
        <v>625</v>
      </c>
      <c r="C22" s="1454"/>
      <c r="D22" s="1455"/>
      <c r="E22" s="454" t="s">
        <v>172</v>
      </c>
      <c r="F22" s="1460">
        <f>F16*F20+F18*F21</f>
        <v>0</v>
      </c>
      <c r="G22" s="1461"/>
      <c r="H22" s="1462">
        <f>F22/12</f>
        <v>0</v>
      </c>
      <c r="I22" s="1463"/>
    </row>
    <row r="23" spans="1:9" x14ac:dyDescent="0.25">
      <c r="A23" s="209">
        <v>10</v>
      </c>
      <c r="B23" s="1449" t="s">
        <v>649</v>
      </c>
      <c r="C23" s="1450"/>
      <c r="D23" s="1451"/>
      <c r="E23" s="472" t="s">
        <v>172</v>
      </c>
      <c r="F23" s="1452">
        <f>F11+F12+F13+F14+F15</f>
        <v>17641.169361453416</v>
      </c>
      <c r="G23" s="1453"/>
      <c r="H23" s="1452">
        <f>H11+H12+H13+H14+H15</f>
        <v>1470.097446787785</v>
      </c>
      <c r="I23" s="1453"/>
    </row>
    <row r="24" spans="1:9" s="247" customFormat="1" ht="22.15" customHeight="1" x14ac:dyDescent="0.25">
      <c r="A24" s="141">
        <v>11</v>
      </c>
      <c r="B24" s="1430" t="s">
        <v>114</v>
      </c>
      <c r="C24" s="1431"/>
      <c r="D24" s="1432"/>
      <c r="E24" s="463" t="s">
        <v>626</v>
      </c>
      <c r="F24" s="1433">
        <f>Характеристика!N18</f>
        <v>15919.85</v>
      </c>
      <c r="G24" s="1434"/>
      <c r="H24" s="1434"/>
      <c r="I24" s="1435"/>
    </row>
    <row r="25" spans="1:9" x14ac:dyDescent="0.25">
      <c r="A25" s="209">
        <v>12</v>
      </c>
      <c r="B25" s="1292" t="s">
        <v>484</v>
      </c>
      <c r="C25" s="1436"/>
      <c r="D25" s="1437"/>
      <c r="E25" s="209" t="s">
        <v>172</v>
      </c>
      <c r="F25" s="1438">
        <f>H23/F24</f>
        <v>9.2343674518779062E-2</v>
      </c>
      <c r="G25" s="1439"/>
      <c r="H25" s="1439"/>
      <c r="I25" s="1440"/>
    </row>
    <row r="26" spans="1:9" x14ac:dyDescent="0.25">
      <c r="A26" s="140"/>
      <c r="B26" s="140"/>
      <c r="C26" s="140"/>
      <c r="D26" s="140"/>
      <c r="E26" s="140"/>
      <c r="F26" s="140"/>
      <c r="G26" s="140"/>
      <c r="H26" s="140"/>
      <c r="I26" s="140"/>
    </row>
    <row r="27" spans="1:9" x14ac:dyDescent="0.25">
      <c r="A27" s="172" t="s">
        <v>627</v>
      </c>
      <c r="B27" s="172" t="s">
        <v>628</v>
      </c>
      <c r="C27" s="140"/>
      <c r="D27" s="140"/>
      <c r="E27" s="140"/>
      <c r="F27" s="140"/>
      <c r="G27" s="140"/>
      <c r="H27" s="140"/>
      <c r="I27" s="140"/>
    </row>
    <row r="28" spans="1:9" ht="26.25" x14ac:dyDescent="0.25">
      <c r="A28" s="469" t="s">
        <v>206</v>
      </c>
      <c r="B28" s="1441" t="s">
        <v>629</v>
      </c>
      <c r="C28" s="1441"/>
      <c r="D28" s="1171"/>
      <c r="E28" s="1171"/>
      <c r="F28" s="1171"/>
      <c r="G28" s="1171"/>
      <c r="H28" s="473" t="s">
        <v>208</v>
      </c>
      <c r="I28" s="141" t="s">
        <v>630</v>
      </c>
    </row>
    <row r="29" spans="1:9" hidden="1" x14ac:dyDescent="0.25">
      <c r="A29" s="400">
        <v>1</v>
      </c>
      <c r="B29" s="1442" t="s">
        <v>631</v>
      </c>
      <c r="C29" s="1442"/>
      <c r="D29" s="1171"/>
      <c r="E29" s="1171"/>
      <c r="F29" s="1171"/>
      <c r="G29" s="1171"/>
      <c r="H29" s="400" t="s">
        <v>159</v>
      </c>
      <c r="I29" s="474">
        <v>1100</v>
      </c>
    </row>
    <row r="30" spans="1:9" ht="33.6" customHeight="1" x14ac:dyDescent="0.25">
      <c r="A30" s="400">
        <v>2</v>
      </c>
      <c r="B30" s="1442" t="s">
        <v>632</v>
      </c>
      <c r="C30" s="1442"/>
      <c r="D30" s="1171"/>
      <c r="E30" s="1171"/>
      <c r="F30" s="1171"/>
      <c r="G30" s="1171"/>
      <c r="H30" s="400" t="s">
        <v>159</v>
      </c>
      <c r="I30" s="474">
        <v>5000</v>
      </c>
    </row>
    <row r="31" spans="1:9" x14ac:dyDescent="0.25">
      <c r="A31" s="140"/>
      <c r="B31" s="140"/>
      <c r="C31" s="140"/>
      <c r="D31" s="140"/>
      <c r="E31" s="140"/>
      <c r="F31" s="140"/>
      <c r="G31" s="140"/>
      <c r="H31" s="140"/>
      <c r="I31" s="140"/>
    </row>
    <row r="32" spans="1:9" x14ac:dyDescent="0.25">
      <c r="A32" s="172" t="s">
        <v>509</v>
      </c>
      <c r="B32" s="172" t="s">
        <v>633</v>
      </c>
      <c r="C32" s="140"/>
      <c r="D32" s="140"/>
      <c r="E32" s="140"/>
      <c r="F32" s="140"/>
      <c r="G32" s="140"/>
      <c r="H32" s="140"/>
      <c r="I32" s="140"/>
    </row>
    <row r="33" spans="1:9" ht="140.25" x14ac:dyDescent="0.25">
      <c r="A33" s="1443" t="s">
        <v>634</v>
      </c>
      <c r="B33" s="1245"/>
      <c r="C33" s="475" t="s">
        <v>635</v>
      </c>
      <c r="D33" s="476" t="s">
        <v>636</v>
      </c>
      <c r="E33" s="250" t="s">
        <v>604</v>
      </c>
      <c r="F33" s="477" t="s">
        <v>637</v>
      </c>
      <c r="G33" s="250" t="s">
        <v>638</v>
      </c>
      <c r="H33" s="250" t="s">
        <v>606</v>
      </c>
      <c r="I33" s="250" t="s">
        <v>975</v>
      </c>
    </row>
    <row r="34" spans="1:9" x14ac:dyDescent="0.25">
      <c r="A34" s="1444">
        <v>1</v>
      </c>
      <c r="B34" s="1245"/>
      <c r="C34" s="475">
        <v>2</v>
      </c>
      <c r="D34" s="478">
        <v>3</v>
      </c>
      <c r="E34" s="478">
        <v>4</v>
      </c>
      <c r="F34" s="479">
        <v>5</v>
      </c>
      <c r="G34" s="478">
        <v>6</v>
      </c>
      <c r="H34" s="478">
        <v>7</v>
      </c>
      <c r="I34" s="480">
        <v>8</v>
      </c>
    </row>
    <row r="35" spans="1:9" ht="48" hidden="1" customHeight="1" x14ac:dyDescent="0.25">
      <c r="A35" s="1445" t="s">
        <v>639</v>
      </c>
      <c r="B35" s="1446"/>
      <c r="C35" s="481">
        <f>F16*0</f>
        <v>0</v>
      </c>
      <c r="D35" s="482">
        <f>F17</f>
        <v>1100</v>
      </c>
      <c r="E35" s="483">
        <f>C35/D35</f>
        <v>0</v>
      </c>
      <c r="F35" s="408">
        <f>оклади!K11</f>
        <v>10834</v>
      </c>
      <c r="G35" s="408">
        <f>E35*F35</f>
        <v>0</v>
      </c>
      <c r="H35" s="408">
        <f>G36*[1]Штатное!F35/100</f>
        <v>0</v>
      </c>
      <c r="I35" s="408">
        <f>G35*1.082+H35</f>
        <v>0</v>
      </c>
    </row>
    <row r="36" spans="1:9" x14ac:dyDescent="0.25">
      <c r="A36" s="1447" t="s">
        <v>640</v>
      </c>
      <c r="B36" s="1448"/>
      <c r="C36" s="659">
        <f>Характеристика!N89</f>
        <v>261</v>
      </c>
      <c r="D36" s="482">
        <f>I30</f>
        <v>5000</v>
      </c>
      <c r="E36" s="483">
        <f>ROUND(C36/D36,3)</f>
        <v>5.1999999999999998E-2</v>
      </c>
      <c r="F36" s="408">
        <f>оклади!K11</f>
        <v>10834</v>
      </c>
      <c r="G36" s="408">
        <f>E36*F36</f>
        <v>563.36799999999994</v>
      </c>
      <c r="H36" s="408">
        <f>G36*0.25</f>
        <v>140.84199999999998</v>
      </c>
      <c r="I36" s="408">
        <f>G36*1.0734+H36</f>
        <v>745.56121119999989</v>
      </c>
    </row>
    <row r="37" spans="1:9" x14ac:dyDescent="0.25">
      <c r="A37" s="1428" t="s">
        <v>212</v>
      </c>
      <c r="B37" s="1429"/>
      <c r="C37" s="484"/>
      <c r="D37" s="484"/>
      <c r="E37" s="485">
        <f>SUM(E35:E36)</f>
        <v>5.1999999999999998E-2</v>
      </c>
      <c r="F37" s="410"/>
      <c r="G37" s="486">
        <f>SUM(G35:G36)</f>
        <v>563.36799999999994</v>
      </c>
      <c r="H37" s="486">
        <f>SUM(H35:H36)</f>
        <v>140.84199999999998</v>
      </c>
      <c r="I37" s="486">
        <f>SUM(I35:I36)</f>
        <v>745.56121119999989</v>
      </c>
    </row>
    <row r="38" spans="1:9" x14ac:dyDescent="0.25">
      <c r="A38" s="487"/>
      <c r="B38" s="488"/>
      <c r="C38" s="488"/>
      <c r="D38" s="488"/>
      <c r="E38" s="488"/>
      <c r="F38" s="488"/>
      <c r="G38" s="488"/>
      <c r="H38" s="488"/>
      <c r="I38" s="488"/>
    </row>
    <row r="39" spans="1:9" x14ac:dyDescent="0.25">
      <c r="A39" s="1267" t="s">
        <v>641</v>
      </c>
      <c r="B39" s="1427"/>
      <c r="C39" s="1427"/>
      <c r="D39" s="1427"/>
      <c r="E39" s="1427"/>
      <c r="F39" s="1427"/>
      <c r="G39" s="1427"/>
      <c r="H39" s="1427"/>
      <c r="I39" s="1427"/>
    </row>
    <row r="40" spans="1:9" ht="60" x14ac:dyDescent="0.25">
      <c r="A40" s="1269" t="s">
        <v>266</v>
      </c>
      <c r="B40" s="1270"/>
      <c r="C40" s="220" t="s">
        <v>267</v>
      </c>
      <c r="D40" s="220" t="s">
        <v>479</v>
      </c>
      <c r="E40" s="220" t="s">
        <v>269</v>
      </c>
      <c r="F40" s="1269" t="s">
        <v>642</v>
      </c>
      <c r="G40" s="753"/>
      <c r="H40" s="1269" t="s">
        <v>643</v>
      </c>
      <c r="I40" s="1271"/>
    </row>
    <row r="41" spans="1:9" x14ac:dyDescent="0.25">
      <c r="A41" s="1269">
        <v>1</v>
      </c>
      <c r="B41" s="1270"/>
      <c r="C41" s="220">
        <v>2</v>
      </c>
      <c r="D41" s="220">
        <v>3</v>
      </c>
      <c r="E41" s="220">
        <v>4</v>
      </c>
      <c r="F41" s="1269">
        <v>5</v>
      </c>
      <c r="G41" s="753"/>
      <c r="H41" s="1269">
        <v>6</v>
      </c>
      <c r="I41" s="1271"/>
    </row>
    <row r="42" spans="1:9" ht="41.45" customHeight="1" x14ac:dyDescent="0.25">
      <c r="A42" s="1298" t="s">
        <v>272</v>
      </c>
      <c r="B42" s="1298"/>
      <c r="C42" s="392">
        <f>прибирання!C49</f>
        <v>2502571.37</v>
      </c>
      <c r="D42" s="232">
        <f>прибирання!D49</f>
        <v>5976607.4800000004</v>
      </c>
      <c r="E42" s="459">
        <f>C42/D42*100</f>
        <v>41.872774452305173</v>
      </c>
      <c r="F42" s="1273">
        <f>I37</f>
        <v>745.56121119999989</v>
      </c>
      <c r="G42" s="753"/>
      <c r="H42" s="1273">
        <f>E42*F42/100</f>
        <v>312.18716436965059</v>
      </c>
      <c r="I42" s="856"/>
    </row>
    <row r="43" spans="1:9" ht="22.15" customHeight="1" x14ac:dyDescent="0.25">
      <c r="A43" s="1298" t="s">
        <v>273</v>
      </c>
      <c r="B43" s="1298"/>
      <c r="C43" s="392">
        <f>прибирання!C50</f>
        <v>4320090.5999999996</v>
      </c>
      <c r="D43" s="232">
        <f>прибирання!D50</f>
        <v>24679377</v>
      </c>
      <c r="E43" s="459">
        <f>C43/D43*100</f>
        <v>17.504860839882628</v>
      </c>
      <c r="F43" s="1273">
        <f>H42+H11+H12+H14</f>
        <v>1231.8083042558728</v>
      </c>
      <c r="G43" s="753"/>
      <c r="H43" s="1273">
        <f>E43*F43/100</f>
        <v>215.62632947410853</v>
      </c>
      <c r="I43" s="856"/>
    </row>
    <row r="44" spans="1:9" ht="22.15" customHeight="1" x14ac:dyDescent="0.25">
      <c r="A44" s="1283" t="s">
        <v>976</v>
      </c>
      <c r="B44" s="1280"/>
      <c r="C44" s="392">
        <f>прибирання!C51</f>
        <v>248044.38</v>
      </c>
      <c r="D44" s="232">
        <f>прибирання!D51</f>
        <v>13482135.970000001</v>
      </c>
      <c r="E44" s="459">
        <f>C44/D44*100</f>
        <v>1.839800314667795</v>
      </c>
      <c r="F44" s="1281">
        <f>H42+H11+H12+H14</f>
        <v>1231.8083042558728</v>
      </c>
      <c r="G44" s="1282"/>
      <c r="H44" s="1273">
        <f>E44*F44/100</f>
        <v>22.662813057803579</v>
      </c>
      <c r="I44" s="856"/>
    </row>
    <row r="45" spans="1:9" ht="40.15" customHeight="1" x14ac:dyDescent="0.25">
      <c r="A45" s="1300" t="s">
        <v>274</v>
      </c>
      <c r="B45" s="1300"/>
      <c r="C45" s="393"/>
      <c r="D45" s="394"/>
      <c r="E45" s="460"/>
      <c r="F45" s="1279"/>
      <c r="G45" s="753"/>
      <c r="H45" s="1279">
        <f>SUM(H42:H44)</f>
        <v>550.47630690156268</v>
      </c>
      <c r="I45" s="856"/>
    </row>
  </sheetData>
  <mergeCells count="76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5:B45"/>
    <mergeCell ref="F45:G45"/>
    <mergeCell ref="H45:I45"/>
    <mergeCell ref="A42:B42"/>
    <mergeCell ref="F42:G42"/>
    <mergeCell ref="H42:I42"/>
    <mergeCell ref="A43:B43"/>
    <mergeCell ref="F43:G43"/>
    <mergeCell ref="H43:I43"/>
    <mergeCell ref="A44:B44"/>
    <mergeCell ref="F44:G44"/>
    <mergeCell ref="H44:I44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5"/>
  <sheetViews>
    <sheetView view="pageBreakPreview" topLeftCell="A22" zoomScale="80" zoomScaleNormal="100" zoomScaleSheetLayoutView="80" workbookViewId="0">
      <selection activeCell="F34" sqref="F34:G34"/>
    </sheetView>
  </sheetViews>
  <sheetFormatPr defaultRowHeight="15" x14ac:dyDescent="0.25"/>
  <cols>
    <col min="6" max="6" width="10.7109375" customWidth="1"/>
    <col min="7" max="7" width="11.5703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 xml:space="preserve">   м. Канів     Шевченка      47</v>
      </c>
      <c r="F1" s="1189" t="s">
        <v>204</v>
      </c>
      <c r="G1" s="1189"/>
      <c r="H1" s="1189"/>
      <c r="I1" s="1189"/>
    </row>
    <row r="2" spans="1:10" x14ac:dyDescent="0.25">
      <c r="F2" s="1189" t="s">
        <v>99</v>
      </c>
      <c r="G2" s="1189"/>
      <c r="H2" s="1189"/>
      <c r="I2" s="1189"/>
    </row>
    <row r="3" spans="1:10" x14ac:dyDescent="0.25">
      <c r="F3" s="1193" t="s">
        <v>619</v>
      </c>
      <c r="G3" s="1193"/>
      <c r="H3" s="1193"/>
      <c r="I3" s="1193"/>
    </row>
    <row r="4" spans="1:10" x14ac:dyDescent="0.25">
      <c r="F4" s="241"/>
      <c r="G4" s="242"/>
      <c r="H4" s="1190" t="s">
        <v>283</v>
      </c>
      <c r="I4" s="1190"/>
    </row>
    <row r="6" spans="1:10" x14ac:dyDescent="0.25">
      <c r="A6" s="1191" t="s">
        <v>287</v>
      </c>
      <c r="B6" s="1191"/>
      <c r="C6" s="1191"/>
      <c r="D6" s="1191"/>
      <c r="E6" s="1191"/>
      <c r="F6" s="1191"/>
      <c r="G6" s="1191"/>
      <c r="H6" s="1191"/>
      <c r="I6" s="1191"/>
      <c r="J6" s="519"/>
    </row>
    <row r="7" spans="1:10" ht="63" customHeight="1" x14ac:dyDescent="0.25">
      <c r="A7" s="1487" t="s">
        <v>660</v>
      </c>
      <c r="B7" s="1487"/>
      <c r="C7" s="1487"/>
      <c r="D7" s="1487"/>
      <c r="E7" s="1487"/>
      <c r="F7" s="1487"/>
      <c r="G7" s="1487"/>
      <c r="H7" s="1487"/>
      <c r="I7" s="1487"/>
    </row>
    <row r="9" spans="1:10" ht="26.25" x14ac:dyDescent="0.25">
      <c r="A9" s="1441" t="s">
        <v>650</v>
      </c>
      <c r="B9" s="1441"/>
      <c r="C9" s="1441"/>
      <c r="D9" s="1441"/>
      <c r="E9" s="753"/>
      <c r="F9" s="753"/>
      <c r="G9" s="473" t="s">
        <v>208</v>
      </c>
      <c r="H9" s="173" t="s">
        <v>209</v>
      </c>
      <c r="I9" s="173" t="s">
        <v>476</v>
      </c>
    </row>
    <row r="10" spans="1:10" ht="29.45" customHeight="1" x14ac:dyDescent="0.25">
      <c r="A10" s="1442" t="s">
        <v>661</v>
      </c>
      <c r="B10" s="1442"/>
      <c r="C10" s="1442"/>
      <c r="D10" s="1442"/>
      <c r="E10" s="753"/>
      <c r="F10" s="753"/>
      <c r="G10" s="455" t="s">
        <v>172</v>
      </c>
      <c r="H10" s="493">
        <f>F35</f>
        <v>61303</v>
      </c>
      <c r="I10" s="493">
        <f>ROUND(H10/12,2)</f>
        <v>5108.58</v>
      </c>
    </row>
    <row r="11" spans="1:10" ht="28.15" customHeight="1" x14ac:dyDescent="0.25">
      <c r="A11" s="1442" t="s">
        <v>290</v>
      </c>
      <c r="B11" s="1442"/>
      <c r="C11" s="1442"/>
      <c r="D11" s="1442"/>
      <c r="E11" s="753"/>
      <c r="F11" s="753"/>
      <c r="G11" s="455" t="s">
        <v>172</v>
      </c>
      <c r="H11" s="493">
        <f>I11*12</f>
        <v>13486.6512</v>
      </c>
      <c r="I11" s="493">
        <f>'поточ рем. констр.ел '!I10*розрахунок!D40/100</f>
        <v>1123.8876</v>
      </c>
    </row>
    <row r="12" spans="1:10" x14ac:dyDescent="0.25">
      <c r="A12" s="1442" t="s">
        <v>486</v>
      </c>
      <c r="B12" s="1442"/>
      <c r="C12" s="1442"/>
      <c r="D12" s="1442"/>
      <c r="E12" s="753"/>
      <c r="F12" s="753"/>
      <c r="G12" s="455" t="s">
        <v>172</v>
      </c>
      <c r="H12" s="493">
        <f>I12*12</f>
        <v>77354.356735580164</v>
      </c>
      <c r="I12" s="493">
        <f>I25</f>
        <v>6446.1963946316801</v>
      </c>
    </row>
    <row r="13" spans="1:10" x14ac:dyDescent="0.25">
      <c r="A13" s="1442" t="s">
        <v>622</v>
      </c>
      <c r="B13" s="1442"/>
      <c r="C13" s="1442"/>
      <c r="D13" s="1442"/>
      <c r="E13" s="753"/>
      <c r="F13" s="753"/>
      <c r="G13" s="455" t="s">
        <v>172</v>
      </c>
      <c r="H13" s="493">
        <f>G35</f>
        <v>166721.35</v>
      </c>
      <c r="I13" s="493">
        <f>H13/12</f>
        <v>13893.445833333333</v>
      </c>
    </row>
    <row r="14" spans="1:10" x14ac:dyDescent="0.25">
      <c r="A14" s="1489" t="s">
        <v>651</v>
      </c>
      <c r="B14" s="1171"/>
      <c r="C14" s="1171"/>
      <c r="D14" s="1171"/>
      <c r="E14" s="753"/>
      <c r="F14" s="753"/>
      <c r="G14" s="455" t="s">
        <v>172</v>
      </c>
      <c r="H14" s="471">
        <f>I35</f>
        <v>0</v>
      </c>
      <c r="I14" s="494">
        <f>H14/12</f>
        <v>0</v>
      </c>
    </row>
    <row r="15" spans="1:10" x14ac:dyDescent="0.25">
      <c r="A15" s="1416" t="s">
        <v>649</v>
      </c>
      <c r="B15" s="858"/>
      <c r="C15" s="858"/>
      <c r="D15" s="858"/>
      <c r="E15" s="858"/>
      <c r="F15" s="859"/>
      <c r="G15" s="209" t="s">
        <v>172</v>
      </c>
      <c r="H15" s="495">
        <f>SUM(H10:H14)</f>
        <v>318865.35793558019</v>
      </c>
      <c r="I15" s="496">
        <f>SUM(I10:I14)</f>
        <v>26572.10982796501</v>
      </c>
    </row>
    <row r="16" spans="1:10" ht="14.45" customHeight="1" x14ac:dyDescent="0.25">
      <c r="A16" s="1430" t="s">
        <v>114</v>
      </c>
      <c r="B16" s="1490"/>
      <c r="C16" s="1490"/>
      <c r="D16" s="1490"/>
      <c r="E16" s="1490"/>
      <c r="F16" s="1491"/>
      <c r="G16" s="209" t="s">
        <v>172</v>
      </c>
      <c r="H16" s="1492">
        <f>Характеристика!N18</f>
        <v>15919.85</v>
      </c>
      <c r="I16" s="1222"/>
    </row>
    <row r="17" spans="1:9" x14ac:dyDescent="0.25">
      <c r="A17" s="1185" t="s">
        <v>484</v>
      </c>
      <c r="B17" s="1185"/>
      <c r="C17" s="1185"/>
      <c r="D17" s="1185"/>
      <c r="E17" s="753"/>
      <c r="F17" s="753"/>
      <c r="G17" s="209" t="s">
        <v>172</v>
      </c>
      <c r="H17" s="1493">
        <f>I15/H16</f>
        <v>1.6691181027437452</v>
      </c>
      <c r="I17" s="1328"/>
    </row>
    <row r="18" spans="1:9" x14ac:dyDescent="0.25">
      <c r="A18" s="140"/>
      <c r="B18" s="140"/>
      <c r="C18" s="140"/>
      <c r="D18" s="140"/>
      <c r="E18" s="140"/>
      <c r="F18" s="140"/>
      <c r="G18" s="140"/>
      <c r="H18" s="140"/>
      <c r="I18" s="140"/>
    </row>
    <row r="19" spans="1:9" x14ac:dyDescent="0.25">
      <c r="A19" s="497"/>
      <c r="B19" s="1488" t="s">
        <v>652</v>
      </c>
      <c r="C19" s="1476"/>
      <c r="D19" s="1476"/>
      <c r="E19" s="1476"/>
      <c r="F19" s="1476"/>
      <c r="G19" s="1476"/>
      <c r="H19" s="1476"/>
      <c r="I19" s="1476"/>
    </row>
    <row r="20" spans="1:9" ht="60" x14ac:dyDescent="0.25">
      <c r="A20" s="1244" t="s">
        <v>266</v>
      </c>
      <c r="B20" s="1304"/>
      <c r="C20" s="1244" t="s">
        <v>267</v>
      </c>
      <c r="D20" s="1304"/>
      <c r="E20" s="1244" t="s">
        <v>653</v>
      </c>
      <c r="F20" s="1304"/>
      <c r="G20" s="220" t="s">
        <v>269</v>
      </c>
      <c r="H20" s="221" t="s">
        <v>654</v>
      </c>
      <c r="I20" s="220" t="s">
        <v>655</v>
      </c>
    </row>
    <row r="21" spans="1:9" x14ac:dyDescent="0.25">
      <c r="A21" s="1244">
        <v>1</v>
      </c>
      <c r="B21" s="1302"/>
      <c r="C21" s="1244">
        <v>2</v>
      </c>
      <c r="D21" s="1304"/>
      <c r="E21" s="1244">
        <v>3</v>
      </c>
      <c r="F21" s="1304"/>
      <c r="G21" s="221">
        <v>4</v>
      </c>
      <c r="H21" s="221">
        <v>5</v>
      </c>
      <c r="I21" s="220">
        <v>6</v>
      </c>
    </row>
    <row r="22" spans="1:9" ht="33.6" customHeight="1" x14ac:dyDescent="0.25">
      <c r="A22" s="1283" t="s">
        <v>272</v>
      </c>
      <c r="B22" s="1305"/>
      <c r="C22" s="1299">
        <f>прибирання!C49</f>
        <v>2502571.37</v>
      </c>
      <c r="D22" s="1269"/>
      <c r="E22" s="1273">
        <f>прибирання!D49</f>
        <v>5976607.4800000004</v>
      </c>
      <c r="F22" s="1273"/>
      <c r="G22" s="450">
        <f>C22/E22*100</f>
        <v>41.872774452305173</v>
      </c>
      <c r="H22" s="466">
        <f>I10</f>
        <v>5108.58</v>
      </c>
      <c r="I22" s="232">
        <f>G22*H22/100</f>
        <v>2139.1041811155719</v>
      </c>
    </row>
    <row r="23" spans="1:9" ht="33" customHeight="1" x14ac:dyDescent="0.25">
      <c r="A23" s="1283" t="s">
        <v>273</v>
      </c>
      <c r="B23" s="1305"/>
      <c r="C23" s="1299">
        <f>прибирання!C50</f>
        <v>4320090.5999999996</v>
      </c>
      <c r="D23" s="1269"/>
      <c r="E23" s="1273">
        <f>прибирання!D50</f>
        <v>24679377</v>
      </c>
      <c r="F23" s="1273"/>
      <c r="G23" s="450">
        <f>C23/E23*100</f>
        <v>17.504860839882628</v>
      </c>
      <c r="H23" s="466">
        <f>I10+I11+I13+I14+I22</f>
        <v>22265.017614448909</v>
      </c>
      <c r="I23" s="232">
        <f>G23*H23/100</f>
        <v>3897.4603493846366</v>
      </c>
    </row>
    <row r="24" spans="1:9" ht="33" customHeight="1" x14ac:dyDescent="0.25">
      <c r="A24" s="1283" t="s">
        <v>976</v>
      </c>
      <c r="B24" s="1280"/>
      <c r="C24" s="1299">
        <f>прибирання!C51</f>
        <v>248044.38</v>
      </c>
      <c r="D24" s="1269"/>
      <c r="E24" s="1273">
        <f>прибирання!D51</f>
        <v>13482135.970000001</v>
      </c>
      <c r="F24" s="1273"/>
      <c r="G24" s="450">
        <f>C24/E24*100</f>
        <v>1.839800314667795</v>
      </c>
      <c r="H24" s="466">
        <f>I10+I11+I13+I14+I22</f>
        <v>22265.017614448909</v>
      </c>
      <c r="I24" s="232">
        <f>G24*H24/100</f>
        <v>409.63186413147099</v>
      </c>
    </row>
    <row r="25" spans="1:9" ht="24.6" customHeight="1" x14ac:dyDescent="0.25">
      <c r="A25" s="1311" t="s">
        <v>274</v>
      </c>
      <c r="B25" s="1312"/>
      <c r="C25" s="1301"/>
      <c r="D25" s="1277"/>
      <c r="E25" s="1279"/>
      <c r="F25" s="1279"/>
      <c r="G25" s="451"/>
      <c r="H25" s="467"/>
      <c r="I25" s="394">
        <f>SUM(I22:I24)</f>
        <v>6446.1963946316801</v>
      </c>
    </row>
    <row r="26" spans="1:9" x14ac:dyDescent="0.25">
      <c r="A26" s="140"/>
      <c r="B26" s="140"/>
      <c r="C26" s="140"/>
      <c r="D26" s="140"/>
      <c r="E26" s="140"/>
      <c r="F26" s="140"/>
      <c r="G26" s="140"/>
      <c r="H26" s="140"/>
      <c r="I26" s="140"/>
    </row>
    <row r="27" spans="1:9" x14ac:dyDescent="0.25">
      <c r="A27" s="1494" t="s">
        <v>656</v>
      </c>
      <c r="B27" s="1494"/>
      <c r="C27" s="1494"/>
      <c r="D27" s="1494"/>
      <c r="E27" s="1494"/>
      <c r="F27" s="1494"/>
      <c r="G27" s="1494"/>
      <c r="H27" s="799"/>
      <c r="I27" s="799"/>
    </row>
    <row r="28" spans="1:9" x14ac:dyDescent="0.25">
      <c r="A28" s="498"/>
      <c r="B28" s="498"/>
      <c r="C28" s="498"/>
      <c r="D28" s="498"/>
      <c r="E28" s="498"/>
      <c r="F28" s="498"/>
      <c r="G28" s="498"/>
      <c r="H28" s="461"/>
      <c r="I28" s="461"/>
    </row>
    <row r="29" spans="1:9" ht="38.25" x14ac:dyDescent="0.25">
      <c r="A29" s="173" t="s">
        <v>206</v>
      </c>
      <c r="B29" s="1380" t="s">
        <v>657</v>
      </c>
      <c r="C29" s="1436"/>
      <c r="D29" s="1437"/>
      <c r="E29" s="173" t="s">
        <v>208</v>
      </c>
      <c r="F29" s="173" t="s">
        <v>658</v>
      </c>
      <c r="G29" s="465" t="s">
        <v>983</v>
      </c>
      <c r="H29" s="499"/>
      <c r="I29" s="500"/>
    </row>
    <row r="30" spans="1:9" x14ac:dyDescent="0.25">
      <c r="A30" s="501">
        <v>1</v>
      </c>
      <c r="B30" s="1495">
        <v>2</v>
      </c>
      <c r="C30" s="1419"/>
      <c r="D30" s="1419"/>
      <c r="E30" s="501">
        <v>3</v>
      </c>
      <c r="F30" s="501">
        <v>4</v>
      </c>
      <c r="G30" s="502">
        <v>5</v>
      </c>
      <c r="H30" s="503"/>
      <c r="I30" s="504"/>
    </row>
    <row r="31" spans="1:9" ht="24.75" customHeight="1" x14ac:dyDescent="0.25">
      <c r="A31" s="501">
        <v>1</v>
      </c>
      <c r="B31" s="1499" t="s">
        <v>992</v>
      </c>
      <c r="C31" s="1500"/>
      <c r="D31" s="1501"/>
      <c r="E31" s="665" t="s">
        <v>981</v>
      </c>
      <c r="F31" s="661"/>
      <c r="G31" s="666">
        <f>1665</f>
        <v>1665</v>
      </c>
      <c r="H31" s="503"/>
      <c r="I31" s="504"/>
    </row>
    <row r="32" spans="1:9" ht="46.5" customHeight="1" x14ac:dyDescent="0.25">
      <c r="A32" s="501">
        <v>2</v>
      </c>
      <c r="B32" s="1496" t="s">
        <v>993</v>
      </c>
      <c r="C32" s="1454"/>
      <c r="D32" s="1455"/>
      <c r="E32" s="510" t="s">
        <v>172</v>
      </c>
      <c r="F32" s="506"/>
      <c r="G32" s="507">
        <f>5*1829.27</f>
        <v>9146.35</v>
      </c>
      <c r="H32" s="511"/>
      <c r="I32" s="512"/>
    </row>
    <row r="33" spans="1:9" ht="15" customHeight="1" x14ac:dyDescent="0.25">
      <c r="A33" s="501">
        <v>3</v>
      </c>
      <c r="B33" s="1496" t="s">
        <v>982</v>
      </c>
      <c r="C33" s="1502"/>
      <c r="D33" s="1503"/>
      <c r="E33" s="510" t="s">
        <v>171</v>
      </c>
      <c r="F33" s="506">
        <f>5*6000</f>
        <v>30000</v>
      </c>
      <c r="G33" s="507">
        <f>5*9000</f>
        <v>45000</v>
      </c>
      <c r="H33" s="511"/>
      <c r="I33" s="512"/>
    </row>
    <row r="34" spans="1:9" x14ac:dyDescent="0.25">
      <c r="A34" s="513">
        <v>4</v>
      </c>
      <c r="B34" s="1497" t="s">
        <v>986</v>
      </c>
      <c r="C34" s="1481"/>
      <c r="D34" s="1482"/>
      <c r="E34" s="510" t="s">
        <v>172</v>
      </c>
      <c r="F34" s="506">
        <v>31303</v>
      </c>
      <c r="G34" s="507">
        <v>110910</v>
      </c>
      <c r="H34" s="511"/>
      <c r="I34" s="512"/>
    </row>
    <row r="35" spans="1:9" x14ac:dyDescent="0.25">
      <c r="A35" s="514"/>
      <c r="B35" s="1498" t="s">
        <v>212</v>
      </c>
      <c r="C35" s="1454"/>
      <c r="D35" s="1455"/>
      <c r="E35" s="515"/>
      <c r="F35" s="516">
        <f>SUM(F31:F34)</f>
        <v>61303</v>
      </c>
      <c r="G35" s="516">
        <f>SUM(G31:G34)</f>
        <v>166721.35</v>
      </c>
      <c r="H35" s="517"/>
      <c r="I35" s="518"/>
    </row>
  </sheetData>
  <mergeCells count="44">
    <mergeCell ref="B32:D32"/>
    <mergeCell ref="B34:D34"/>
    <mergeCell ref="B35:D35"/>
    <mergeCell ref="A25:B25"/>
    <mergeCell ref="C25:D25"/>
    <mergeCell ref="B31:D31"/>
    <mergeCell ref="B33:D33"/>
    <mergeCell ref="E25:F25"/>
    <mergeCell ref="A27:I27"/>
    <mergeCell ref="B29:D29"/>
    <mergeCell ref="B30:D30"/>
    <mergeCell ref="A22:B22"/>
    <mergeCell ref="C22:D22"/>
    <mergeCell ref="E22:F22"/>
    <mergeCell ref="A23:B23"/>
    <mergeCell ref="C23:D23"/>
    <mergeCell ref="E23:F23"/>
    <mergeCell ref="A24:B24"/>
    <mergeCell ref="C24:D24"/>
    <mergeCell ref="E24:F24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5"/>
  <sheetViews>
    <sheetView view="pageBreakPreview" topLeftCell="A16" zoomScale="93" zoomScaleNormal="100" zoomScaleSheetLayoutView="93" workbookViewId="0">
      <selection activeCell="G32" sqref="G32"/>
    </sheetView>
  </sheetViews>
  <sheetFormatPr defaultRowHeight="15" x14ac:dyDescent="0.25"/>
  <cols>
    <col min="6" max="6" width="10.85546875" customWidth="1"/>
    <col min="7" max="7" width="10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 xml:space="preserve">   м. Канів     Шевченка      47</v>
      </c>
      <c r="F1" s="1189" t="s">
        <v>204</v>
      </c>
      <c r="G1" s="1189"/>
      <c r="H1" s="1189"/>
      <c r="I1" s="1189"/>
    </row>
    <row r="2" spans="1:10" x14ac:dyDescent="0.25">
      <c r="F2" s="1189" t="s">
        <v>99</v>
      </c>
      <c r="G2" s="1189"/>
      <c r="H2" s="1189"/>
      <c r="I2" s="1189"/>
    </row>
    <row r="3" spans="1:10" x14ac:dyDescent="0.25">
      <c r="F3" s="1193" t="s">
        <v>619</v>
      </c>
      <c r="G3" s="1193"/>
      <c r="H3" s="1193"/>
      <c r="I3" s="1193"/>
    </row>
    <row r="4" spans="1:10" x14ac:dyDescent="0.25">
      <c r="F4" s="241"/>
      <c r="G4" s="242"/>
      <c r="H4" s="1190" t="s">
        <v>283</v>
      </c>
      <c r="I4" s="1190"/>
    </row>
    <row r="6" spans="1:10" x14ac:dyDescent="0.25">
      <c r="A6" s="1191" t="s">
        <v>287</v>
      </c>
      <c r="B6" s="1191"/>
      <c r="C6" s="1191"/>
      <c r="D6" s="1191"/>
      <c r="E6" s="1191"/>
      <c r="F6" s="1191"/>
      <c r="G6" s="1191"/>
      <c r="H6" s="1191"/>
      <c r="I6" s="1191"/>
      <c r="J6" s="519"/>
    </row>
    <row r="7" spans="1:10" ht="40.15" customHeight="1" x14ac:dyDescent="0.25">
      <c r="A7" s="1506" t="s">
        <v>989</v>
      </c>
      <c r="B7" s="1506"/>
      <c r="C7" s="1506"/>
      <c r="D7" s="1506"/>
      <c r="E7" s="1506"/>
      <c r="F7" s="1506"/>
      <c r="G7" s="1506"/>
      <c r="H7" s="1506"/>
      <c r="I7" s="1506"/>
    </row>
    <row r="9" spans="1:10" ht="26.25" x14ac:dyDescent="0.25">
      <c r="A9" s="1441" t="s">
        <v>650</v>
      </c>
      <c r="B9" s="1441"/>
      <c r="C9" s="1441"/>
      <c r="D9" s="1441"/>
      <c r="E9" s="753"/>
      <c r="F9" s="753"/>
      <c r="G9" s="473" t="s">
        <v>208</v>
      </c>
      <c r="H9" s="173" t="s">
        <v>209</v>
      </c>
      <c r="I9" s="173" t="s">
        <v>476</v>
      </c>
    </row>
    <row r="10" spans="1:10" ht="29.45" customHeight="1" x14ac:dyDescent="0.25">
      <c r="A10" s="1442" t="s">
        <v>662</v>
      </c>
      <c r="B10" s="1442"/>
      <c r="C10" s="1442"/>
      <c r="D10" s="1442"/>
      <c r="E10" s="753"/>
      <c r="F10" s="753"/>
      <c r="G10" s="455" t="s">
        <v>172</v>
      </c>
      <c r="H10" s="493">
        <f>F35</f>
        <v>44391.164499999999</v>
      </c>
      <c r="I10" s="493">
        <f>ROUND(H10/12,2)</f>
        <v>3699.26</v>
      </c>
    </row>
    <row r="11" spans="1:10" ht="28.15" customHeight="1" x14ac:dyDescent="0.25">
      <c r="A11" s="1442" t="s">
        <v>290</v>
      </c>
      <c r="B11" s="1442"/>
      <c r="C11" s="1442"/>
      <c r="D11" s="1442"/>
      <c r="E11" s="753"/>
      <c r="F11" s="753"/>
      <c r="G11" s="455" t="s">
        <v>172</v>
      </c>
      <c r="H11" s="493">
        <f>I11*12</f>
        <v>9766.0464000000011</v>
      </c>
      <c r="I11" s="493">
        <f>'поточ рем. внутр.б.мереж'!I10*розрахунок!D40/100</f>
        <v>813.83720000000005</v>
      </c>
    </row>
    <row r="12" spans="1:10" x14ac:dyDescent="0.25">
      <c r="A12" s="1442" t="s">
        <v>486</v>
      </c>
      <c r="B12" s="1442"/>
      <c r="C12" s="1442"/>
      <c r="D12" s="1442"/>
      <c r="E12" s="753"/>
      <c r="F12" s="753"/>
      <c r="G12" s="455" t="s">
        <v>172</v>
      </c>
      <c r="H12" s="493">
        <f>I12*12</f>
        <v>41313.198871913759</v>
      </c>
      <c r="I12" s="493">
        <f>I25</f>
        <v>3442.7665726594796</v>
      </c>
    </row>
    <row r="13" spans="1:10" x14ac:dyDescent="0.25">
      <c r="A13" s="1442" t="s">
        <v>622</v>
      </c>
      <c r="B13" s="1442"/>
      <c r="C13" s="1442"/>
      <c r="D13" s="1442"/>
      <c r="E13" s="753"/>
      <c r="F13" s="753"/>
      <c r="G13" s="455" t="s">
        <v>172</v>
      </c>
      <c r="H13" s="493">
        <f>G35</f>
        <v>44731.407999999996</v>
      </c>
      <c r="I13" s="493">
        <f>H13/12</f>
        <v>3727.6173333333331</v>
      </c>
    </row>
    <row r="14" spans="1:10" hidden="1" x14ac:dyDescent="0.25">
      <c r="A14" s="1489" t="s">
        <v>651</v>
      </c>
      <c r="B14" s="1171"/>
      <c r="C14" s="1171"/>
      <c r="D14" s="1171"/>
      <c r="E14" s="753"/>
      <c r="F14" s="753"/>
      <c r="G14" s="455" t="s">
        <v>172</v>
      </c>
      <c r="H14" s="471">
        <f>I35</f>
        <v>0</v>
      </c>
      <c r="I14" s="494">
        <f>H14/12</f>
        <v>0</v>
      </c>
    </row>
    <row r="15" spans="1:10" x14ac:dyDescent="0.25">
      <c r="A15" s="1416" t="s">
        <v>649</v>
      </c>
      <c r="B15" s="858"/>
      <c r="C15" s="858"/>
      <c r="D15" s="858"/>
      <c r="E15" s="858"/>
      <c r="F15" s="859"/>
      <c r="G15" s="209" t="s">
        <v>172</v>
      </c>
      <c r="H15" s="495">
        <f>SUM(H10:H14)</f>
        <v>140201.81777191375</v>
      </c>
      <c r="I15" s="496">
        <f>SUM(I10:I14)</f>
        <v>11683.481105992812</v>
      </c>
    </row>
    <row r="16" spans="1:10" ht="14.45" customHeight="1" x14ac:dyDescent="0.25">
      <c r="A16" s="1430" t="s">
        <v>114</v>
      </c>
      <c r="B16" s="1490"/>
      <c r="C16" s="1490"/>
      <c r="D16" s="1490"/>
      <c r="E16" s="1490"/>
      <c r="F16" s="1491"/>
      <c r="G16" s="209" t="s">
        <v>172</v>
      </c>
      <c r="H16" s="1492">
        <f>Характеристика!N18</f>
        <v>15919.85</v>
      </c>
      <c r="I16" s="1222"/>
    </row>
    <row r="17" spans="1:9" x14ac:dyDescent="0.25">
      <c r="A17" s="1185" t="s">
        <v>484</v>
      </c>
      <c r="B17" s="1185"/>
      <c r="C17" s="1185"/>
      <c r="D17" s="1185"/>
      <c r="E17" s="753"/>
      <c r="F17" s="753"/>
      <c r="G17" s="209" t="s">
        <v>172</v>
      </c>
      <c r="H17" s="1493">
        <f>I15/H16</f>
        <v>0.73389391897491574</v>
      </c>
      <c r="I17" s="1328"/>
    </row>
    <row r="18" spans="1:9" x14ac:dyDescent="0.25">
      <c r="A18" s="140"/>
      <c r="B18" s="140"/>
      <c r="C18" s="140"/>
      <c r="D18" s="140"/>
      <c r="E18" s="140"/>
      <c r="F18" s="140"/>
      <c r="G18" s="140"/>
      <c r="H18" s="140"/>
      <c r="I18" s="140"/>
    </row>
    <row r="19" spans="1:9" x14ac:dyDescent="0.25">
      <c r="A19" s="497"/>
      <c r="B19" s="1488" t="s">
        <v>652</v>
      </c>
      <c r="C19" s="1476"/>
      <c r="D19" s="1476"/>
      <c r="E19" s="1476"/>
      <c r="F19" s="1476"/>
      <c r="G19" s="1476"/>
      <c r="H19" s="1476"/>
      <c r="I19" s="1476"/>
    </row>
    <row r="20" spans="1:9" ht="60" x14ac:dyDescent="0.25">
      <c r="A20" s="1244" t="s">
        <v>266</v>
      </c>
      <c r="B20" s="1304"/>
      <c r="C20" s="1244" t="s">
        <v>267</v>
      </c>
      <c r="D20" s="1304"/>
      <c r="E20" s="1244" t="s">
        <v>653</v>
      </c>
      <c r="F20" s="1304"/>
      <c r="G20" s="220" t="s">
        <v>269</v>
      </c>
      <c r="H20" s="221" t="s">
        <v>654</v>
      </c>
      <c r="I20" s="220" t="s">
        <v>655</v>
      </c>
    </row>
    <row r="21" spans="1:9" x14ac:dyDescent="0.25">
      <c r="A21" s="1244">
        <v>1</v>
      </c>
      <c r="B21" s="1302"/>
      <c r="C21" s="1244">
        <v>2</v>
      </c>
      <c r="D21" s="1304"/>
      <c r="E21" s="1244">
        <v>3</v>
      </c>
      <c r="F21" s="1304"/>
      <c r="G21" s="221">
        <v>4</v>
      </c>
      <c r="H21" s="221">
        <v>5</v>
      </c>
      <c r="I21" s="220">
        <v>6</v>
      </c>
    </row>
    <row r="22" spans="1:9" ht="33.6" customHeight="1" x14ac:dyDescent="0.25">
      <c r="A22" s="1283" t="s">
        <v>272</v>
      </c>
      <c r="B22" s="1305"/>
      <c r="C22" s="1299">
        <f>прибирання!C49</f>
        <v>2502571.37</v>
      </c>
      <c r="D22" s="1269"/>
      <c r="E22" s="1273">
        <f>прибирання!D49</f>
        <v>5976607.4800000004</v>
      </c>
      <c r="F22" s="1273"/>
      <c r="G22" s="450">
        <f>C22/E22*100</f>
        <v>41.872774452305173</v>
      </c>
      <c r="H22" s="466">
        <f>I10</f>
        <v>3699.26</v>
      </c>
      <c r="I22" s="232">
        <f>G22*H22/100</f>
        <v>1548.9827962043446</v>
      </c>
    </row>
    <row r="23" spans="1:9" ht="33" customHeight="1" x14ac:dyDescent="0.25">
      <c r="A23" s="1283" t="s">
        <v>273</v>
      </c>
      <c r="B23" s="1305"/>
      <c r="C23" s="1299">
        <f>прибирання!C50</f>
        <v>4320090.5999999996</v>
      </c>
      <c r="D23" s="1269"/>
      <c r="E23" s="1273">
        <f>прибирання!D50</f>
        <v>24679377</v>
      </c>
      <c r="F23" s="1273"/>
      <c r="G23" s="450">
        <f>C23/E23*100</f>
        <v>17.504860839882628</v>
      </c>
      <c r="H23" s="466">
        <f>I10+I11+I13+I14+I22</f>
        <v>9789.6973295376774</v>
      </c>
      <c r="I23" s="232">
        <f>G23*H23/100</f>
        <v>1713.6728941812762</v>
      </c>
    </row>
    <row r="24" spans="1:9" ht="33" customHeight="1" x14ac:dyDescent="0.25">
      <c r="A24" s="1283" t="s">
        <v>976</v>
      </c>
      <c r="B24" s="1280"/>
      <c r="C24" s="1299">
        <f>прибирання!C51</f>
        <v>248044.38</v>
      </c>
      <c r="D24" s="1269"/>
      <c r="E24" s="1273">
        <f>прибирання!D51</f>
        <v>13482135.970000001</v>
      </c>
      <c r="F24" s="1273"/>
      <c r="G24" s="450">
        <f>C24/E24*100</f>
        <v>1.839800314667795</v>
      </c>
      <c r="H24" s="466">
        <f>I10+I11+I13+I14+I22</f>
        <v>9789.6973295376774</v>
      </c>
      <c r="I24" s="232">
        <f>G24*H24/100</f>
        <v>180.11088227385892</v>
      </c>
    </row>
    <row r="25" spans="1:9" ht="24.6" customHeight="1" x14ac:dyDescent="0.25">
      <c r="A25" s="1311" t="s">
        <v>274</v>
      </c>
      <c r="B25" s="1312"/>
      <c r="C25" s="1301"/>
      <c r="D25" s="1277"/>
      <c r="E25" s="1279"/>
      <c r="F25" s="1279"/>
      <c r="G25" s="451"/>
      <c r="H25" s="467"/>
      <c r="I25" s="394">
        <f>SUM(I22:I24)</f>
        <v>3442.7665726594796</v>
      </c>
    </row>
    <row r="26" spans="1:9" x14ac:dyDescent="0.25">
      <c r="A26" s="140"/>
      <c r="B26" s="140"/>
      <c r="C26" s="140"/>
      <c r="D26" s="140"/>
      <c r="E26" s="140"/>
      <c r="F26" s="140"/>
      <c r="G26" s="140"/>
      <c r="H26" s="140"/>
      <c r="I26" s="140"/>
    </row>
    <row r="27" spans="1:9" x14ac:dyDescent="0.25">
      <c r="A27" s="1494" t="s">
        <v>656</v>
      </c>
      <c r="B27" s="1494"/>
      <c r="C27" s="1494"/>
      <c r="D27" s="1494"/>
      <c r="E27" s="1494"/>
      <c r="F27" s="1494"/>
      <c r="G27" s="1494"/>
      <c r="H27" s="799"/>
      <c r="I27" s="799"/>
    </row>
    <row r="28" spans="1:9" x14ac:dyDescent="0.25">
      <c r="A28" s="498"/>
      <c r="B28" s="498"/>
      <c r="C28" s="498"/>
      <c r="D28" s="498"/>
      <c r="E28" s="498"/>
      <c r="F28" s="498"/>
      <c r="G28" s="498"/>
      <c r="H28" s="461"/>
      <c r="I28" s="461"/>
    </row>
    <row r="29" spans="1:9" ht="38.25" x14ac:dyDescent="0.25">
      <c r="A29" s="173" t="s">
        <v>206</v>
      </c>
      <c r="B29" s="1380" t="s">
        <v>657</v>
      </c>
      <c r="C29" s="1436"/>
      <c r="D29" s="1437"/>
      <c r="E29" s="173" t="s">
        <v>208</v>
      </c>
      <c r="F29" s="173" t="s">
        <v>658</v>
      </c>
      <c r="G29" s="465" t="s">
        <v>983</v>
      </c>
      <c r="H29" s="499"/>
      <c r="I29" s="500"/>
    </row>
    <row r="30" spans="1:9" x14ac:dyDescent="0.25">
      <c r="A30" s="501">
        <v>1</v>
      </c>
      <c r="B30" s="1495">
        <v>2</v>
      </c>
      <c r="C30" s="1419"/>
      <c r="D30" s="1419"/>
      <c r="E30" s="501">
        <v>3</v>
      </c>
      <c r="F30" s="501">
        <v>4</v>
      </c>
      <c r="G30" s="502">
        <v>5</v>
      </c>
      <c r="H30" s="503"/>
      <c r="I30" s="504"/>
    </row>
    <row r="31" spans="1:9" x14ac:dyDescent="0.25">
      <c r="A31" s="501">
        <v>1</v>
      </c>
      <c r="B31" s="1507" t="s">
        <v>803</v>
      </c>
      <c r="C31" s="1436"/>
      <c r="D31" s="1437"/>
      <c r="E31" s="505" t="s">
        <v>172</v>
      </c>
      <c r="F31" s="506">
        <v>19397</v>
      </c>
      <c r="G31" s="507">
        <v>24354</v>
      </c>
      <c r="H31" s="508"/>
      <c r="I31" s="509"/>
    </row>
    <row r="32" spans="1:9" x14ac:dyDescent="0.25">
      <c r="A32" s="501">
        <v>2</v>
      </c>
      <c r="B32" s="1496" t="s">
        <v>949</v>
      </c>
      <c r="C32" s="1454"/>
      <c r="D32" s="1455"/>
      <c r="E32" s="510" t="s">
        <v>172</v>
      </c>
      <c r="F32" s="506">
        <f>1.57*Характеристика!N18</f>
        <v>24994.164500000003</v>
      </c>
      <c r="G32" s="507">
        <f>1.28*Характеристика!N18</f>
        <v>20377.407999999999</v>
      </c>
      <c r="H32" s="511"/>
      <c r="I32" s="512"/>
    </row>
    <row r="33" spans="1:9" ht="35.25" hidden="1" customHeight="1" x14ac:dyDescent="0.25">
      <c r="A33" s="513">
        <v>3</v>
      </c>
      <c r="B33" s="1497"/>
      <c r="C33" s="1481"/>
      <c r="D33" s="1482"/>
      <c r="E33" s="510" t="s">
        <v>172</v>
      </c>
      <c r="F33" s="506"/>
      <c r="G33" s="507"/>
      <c r="H33" s="511"/>
      <c r="I33" s="512"/>
    </row>
    <row r="34" spans="1:9" ht="35.25" hidden="1" customHeight="1" x14ac:dyDescent="0.25">
      <c r="A34" s="513">
        <v>4</v>
      </c>
      <c r="B34" s="1497"/>
      <c r="C34" s="1504"/>
      <c r="D34" s="1505"/>
      <c r="E34" s="510" t="s">
        <v>172</v>
      </c>
      <c r="F34" s="506"/>
      <c r="G34" s="507"/>
      <c r="H34" s="511"/>
      <c r="I34" s="512"/>
    </row>
    <row r="35" spans="1:9" x14ac:dyDescent="0.25">
      <c r="A35" s="514"/>
      <c r="B35" s="1498" t="s">
        <v>212</v>
      </c>
      <c r="C35" s="1454"/>
      <c r="D35" s="1455"/>
      <c r="E35" s="515"/>
      <c r="F35" s="516">
        <f>SUM(F31:F34)</f>
        <v>44391.164499999999</v>
      </c>
      <c r="G35" s="516">
        <f>SUM(G31:G34)</f>
        <v>44731.407999999996</v>
      </c>
      <c r="H35" s="517"/>
      <c r="I35" s="518"/>
    </row>
  </sheetData>
  <mergeCells count="44">
    <mergeCell ref="B34:D34"/>
    <mergeCell ref="B35:D35"/>
    <mergeCell ref="F1:I1"/>
    <mergeCell ref="F2:I2"/>
    <mergeCell ref="F3:I3"/>
    <mergeCell ref="H4:I4"/>
    <mergeCell ref="A6:I6"/>
    <mergeCell ref="A7:I7"/>
    <mergeCell ref="A27:I27"/>
    <mergeCell ref="B29:D29"/>
    <mergeCell ref="B30:D30"/>
    <mergeCell ref="B31:D31"/>
    <mergeCell ref="B32:D32"/>
    <mergeCell ref="B33:D33"/>
    <mergeCell ref="A23:B23"/>
    <mergeCell ref="C23:D23"/>
    <mergeCell ref="E23:F23"/>
    <mergeCell ref="A25:B25"/>
    <mergeCell ref="C25:D25"/>
    <mergeCell ref="E25:F25"/>
    <mergeCell ref="A21:B21"/>
    <mergeCell ref="C21:D21"/>
    <mergeCell ref="E21:F21"/>
    <mergeCell ref="A22:B22"/>
    <mergeCell ref="C22:D22"/>
    <mergeCell ref="E22:F22"/>
    <mergeCell ref="A24:B24"/>
    <mergeCell ref="C24:D24"/>
    <mergeCell ref="E24:F24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71"/>
  <sheetViews>
    <sheetView view="pageBreakPreview" zoomScale="60" zoomScaleNormal="100" workbookViewId="0">
      <selection activeCell="A32" sqref="A32"/>
    </sheetView>
  </sheetViews>
  <sheetFormatPr defaultRowHeight="15" x14ac:dyDescent="0.25"/>
  <cols>
    <col min="3" max="3" width="9.7109375" customWidth="1"/>
  </cols>
  <sheetData>
    <row r="1" spans="1:10" x14ac:dyDescent="0.25">
      <c r="A1" s="6" t="str">
        <f>сход.клітки!A1</f>
        <v xml:space="preserve">   м. Канів     Шевченка      47</v>
      </c>
      <c r="G1" s="1189" t="s">
        <v>204</v>
      </c>
      <c r="H1" s="1189"/>
      <c r="I1" s="1189"/>
      <c r="J1" s="1189"/>
    </row>
    <row r="2" spans="1:10" x14ac:dyDescent="0.25">
      <c r="G2" s="1189" t="s">
        <v>99</v>
      </c>
      <c r="H2" s="1189"/>
      <c r="I2" s="1189"/>
      <c r="J2" s="1189"/>
    </row>
    <row r="3" spans="1:10" x14ac:dyDescent="0.25">
      <c r="G3" s="1193" t="s">
        <v>619</v>
      </c>
      <c r="H3" s="1193"/>
      <c r="I3" s="1193"/>
      <c r="J3" s="1193"/>
    </row>
    <row r="4" spans="1:10" x14ac:dyDescent="0.25">
      <c r="G4" s="241"/>
      <c r="H4" s="242"/>
      <c r="I4" s="1190" t="s">
        <v>283</v>
      </c>
      <c r="J4" s="1190"/>
    </row>
    <row r="6" spans="1:10" x14ac:dyDescent="0.25">
      <c r="A6" s="1191" t="s">
        <v>287</v>
      </c>
      <c r="B6" s="1191"/>
      <c r="C6" s="1191"/>
      <c r="D6" s="1191"/>
      <c r="E6" s="1191"/>
      <c r="F6" s="1191"/>
      <c r="G6" s="1191"/>
      <c r="H6" s="1191"/>
      <c r="I6" s="1191"/>
      <c r="J6" s="1191"/>
    </row>
    <row r="7" spans="1:10" ht="33.6" customHeight="1" x14ac:dyDescent="0.25">
      <c r="A7" s="1506" t="s">
        <v>907</v>
      </c>
      <c r="B7" s="1506"/>
      <c r="C7" s="1506"/>
      <c r="D7" s="1506"/>
      <c r="E7" s="1506"/>
      <c r="F7" s="1506"/>
      <c r="G7" s="1506"/>
      <c r="H7" s="1506"/>
      <c r="I7" s="1506"/>
      <c r="J7" s="1506"/>
    </row>
    <row r="9" spans="1:10" x14ac:dyDescent="0.25">
      <c r="A9" s="233" t="s">
        <v>725</v>
      </c>
    </row>
    <row r="10" spans="1:10" ht="25.5" x14ac:dyDescent="0.25">
      <c r="A10" s="173" t="s">
        <v>206</v>
      </c>
      <c r="B10" s="1184" t="s">
        <v>207</v>
      </c>
      <c r="C10" s="1185"/>
      <c r="D10" s="1185"/>
      <c r="E10" s="1185"/>
      <c r="F10" s="173" t="s">
        <v>208</v>
      </c>
      <c r="G10" s="1184" t="s">
        <v>209</v>
      </c>
      <c r="H10" s="1185"/>
      <c r="I10" s="1184" t="s">
        <v>210</v>
      </c>
      <c r="J10" s="1186"/>
    </row>
    <row r="11" spans="1:10" ht="24" customHeight="1" x14ac:dyDescent="0.25">
      <c r="A11" s="173">
        <v>1</v>
      </c>
      <c r="B11" s="1194" t="s">
        <v>726</v>
      </c>
      <c r="C11" s="1171"/>
      <c r="D11" s="1171"/>
      <c r="E11" s="1171"/>
      <c r="F11" s="250" t="s">
        <v>172</v>
      </c>
      <c r="G11" s="1196">
        <f>I11*12</f>
        <v>12945.203999999998</v>
      </c>
      <c r="H11" s="1197"/>
      <c r="I11" s="1196">
        <f>I58</f>
        <v>1078.7669999999998</v>
      </c>
      <c r="J11" s="1198"/>
    </row>
    <row r="12" spans="1:10" ht="48.6" customHeight="1" x14ac:dyDescent="0.25">
      <c r="A12" s="173">
        <v>2</v>
      </c>
      <c r="B12" s="1199" t="s">
        <v>621</v>
      </c>
      <c r="C12" s="1200"/>
      <c r="D12" s="1200"/>
      <c r="E12" s="1200"/>
      <c r="F12" s="250" t="s">
        <v>172</v>
      </c>
      <c r="G12" s="1196">
        <f>I12*12</f>
        <v>2847.9448799999996</v>
      </c>
      <c r="H12" s="1197"/>
      <c r="I12" s="1196">
        <f>I11*розрахунок!D40/100</f>
        <v>237.32873999999995</v>
      </c>
      <c r="J12" s="1198"/>
    </row>
    <row r="13" spans="1:10" x14ac:dyDescent="0.25">
      <c r="A13" s="173">
        <v>3</v>
      </c>
      <c r="B13" s="1194" t="s">
        <v>486</v>
      </c>
      <c r="C13" s="1195"/>
      <c r="D13" s="1195"/>
      <c r="E13" s="1195"/>
      <c r="F13" s="250" t="s">
        <v>172</v>
      </c>
      <c r="G13" s="1196">
        <f>I13*12</f>
        <v>10205.931419770801</v>
      </c>
      <c r="H13" s="1197"/>
      <c r="I13" s="1196">
        <f>I66</f>
        <v>850.49428498090015</v>
      </c>
      <c r="J13" s="1198"/>
    </row>
    <row r="14" spans="1:10" x14ac:dyDescent="0.25">
      <c r="A14" s="173">
        <v>4</v>
      </c>
      <c r="B14" s="1194" t="s">
        <v>622</v>
      </c>
      <c r="C14" s="1195"/>
      <c r="D14" s="1195"/>
      <c r="E14" s="1195"/>
      <c r="F14" s="250" t="s">
        <v>172</v>
      </c>
      <c r="G14" s="1196">
        <f>G15+G16</f>
        <v>767.81850000000009</v>
      </c>
      <c r="H14" s="1197"/>
      <c r="I14" s="1196">
        <f>I15+I16</f>
        <v>63.984875000000002</v>
      </c>
      <c r="J14" s="1198"/>
    </row>
    <row r="15" spans="1:10" x14ac:dyDescent="0.25">
      <c r="A15" s="552" t="s">
        <v>680</v>
      </c>
      <c r="B15" s="1288" t="s">
        <v>681</v>
      </c>
      <c r="C15" s="1390"/>
      <c r="D15" s="1390"/>
      <c r="E15" s="1391"/>
      <c r="F15" s="250" t="s">
        <v>172</v>
      </c>
      <c r="G15" s="1196">
        <f>I15*12</f>
        <v>343.99575000000004</v>
      </c>
      <c r="H15" s="1197"/>
      <c r="I15" s="1201">
        <f>інвентар!I8</f>
        <v>28.666312500000004</v>
      </c>
      <c r="J15" s="1392"/>
    </row>
    <row r="16" spans="1:10" x14ac:dyDescent="0.25">
      <c r="A16" s="552" t="s">
        <v>682</v>
      </c>
      <c r="B16" s="1288" t="s">
        <v>683</v>
      </c>
      <c r="C16" s="1390"/>
      <c r="D16" s="1390"/>
      <c r="E16" s="1391"/>
      <c r="F16" s="250" t="s">
        <v>172</v>
      </c>
      <c r="G16" s="1201">
        <f>I16*12</f>
        <v>423.82274999999998</v>
      </c>
      <c r="H16" s="1392"/>
      <c r="I16" s="1201">
        <f>J71/12</f>
        <v>35.318562499999999</v>
      </c>
      <c r="J16" s="1392"/>
    </row>
    <row r="17" spans="1:10" x14ac:dyDescent="0.25">
      <c r="A17" s="173">
        <v>5</v>
      </c>
      <c r="B17" s="1194" t="s">
        <v>474</v>
      </c>
      <c r="C17" s="1195"/>
      <c r="D17" s="1195"/>
      <c r="E17" s="1195"/>
      <c r="F17" s="250" t="s">
        <v>172</v>
      </c>
      <c r="G17" s="1196">
        <f>I17*12</f>
        <v>0</v>
      </c>
      <c r="H17" s="1197"/>
      <c r="I17" s="1201">
        <v>0</v>
      </c>
      <c r="J17" s="1202"/>
    </row>
    <row r="18" spans="1:10" ht="44.45" customHeight="1" x14ac:dyDescent="0.25">
      <c r="A18" s="173">
        <v>6</v>
      </c>
      <c r="B18" s="1533" t="s">
        <v>728</v>
      </c>
      <c r="C18" s="1534"/>
      <c r="D18" s="1534"/>
      <c r="E18" s="1534"/>
      <c r="F18" s="173" t="s">
        <v>172</v>
      </c>
      <c r="G18" s="1205">
        <f>G11+G12+G13+G14+G17</f>
        <v>26766.898799770799</v>
      </c>
      <c r="H18" s="1206"/>
      <c r="I18" s="1205">
        <f>I11+I12+I13+I14+I17</f>
        <v>2230.5748999809002</v>
      </c>
      <c r="J18" s="1206"/>
    </row>
    <row r="19" spans="1:10" ht="27" customHeight="1" x14ac:dyDescent="0.25">
      <c r="A19" s="173">
        <v>7</v>
      </c>
      <c r="B19" s="1194" t="s">
        <v>684</v>
      </c>
      <c r="C19" s="1195"/>
      <c r="D19" s="1195"/>
      <c r="E19" s="1195"/>
      <c r="F19" s="250" t="s">
        <v>626</v>
      </c>
      <c r="G19" s="1201">
        <f>Характеристика!H45*20</f>
        <v>20400</v>
      </c>
      <c r="H19" s="1538"/>
      <c r="I19" s="1201">
        <f>G19/12</f>
        <v>1700</v>
      </c>
      <c r="J19" s="1538"/>
    </row>
    <row r="20" spans="1:10" ht="25.5" x14ac:dyDescent="0.25">
      <c r="A20" s="173">
        <v>8</v>
      </c>
      <c r="B20" s="1194" t="s">
        <v>685</v>
      </c>
      <c r="C20" s="1195"/>
      <c r="D20" s="1195"/>
      <c r="E20" s="1195"/>
      <c r="F20" s="250" t="s">
        <v>686</v>
      </c>
      <c r="G20" s="1536">
        <v>2.5999999999999998E-4</v>
      </c>
      <c r="H20" s="1537"/>
      <c r="I20" s="1536">
        <v>2.5999999999999998E-4</v>
      </c>
      <c r="J20" s="1537"/>
    </row>
    <row r="21" spans="1:10" x14ac:dyDescent="0.25">
      <c r="A21" s="173">
        <v>9</v>
      </c>
      <c r="B21" s="1194" t="s">
        <v>687</v>
      </c>
      <c r="C21" s="1195"/>
      <c r="D21" s="1195"/>
      <c r="E21" s="1195"/>
      <c r="F21" s="250" t="s">
        <v>172</v>
      </c>
      <c r="G21" s="1201">
        <f>розрахунок!D51</f>
        <v>519.64</v>
      </c>
      <c r="H21" s="1538"/>
      <c r="I21" s="1201">
        <f>розрахунок!D51</f>
        <v>519.64</v>
      </c>
      <c r="J21" s="1538"/>
    </row>
    <row r="22" spans="1:10" ht="41.45" customHeight="1" x14ac:dyDescent="0.25">
      <c r="A22" s="173">
        <v>10</v>
      </c>
      <c r="B22" s="1533" t="s">
        <v>729</v>
      </c>
      <c r="C22" s="1534"/>
      <c r="D22" s="1534"/>
      <c r="E22" s="1534"/>
      <c r="F22" s="250" t="s">
        <v>172</v>
      </c>
      <c r="G22" s="1210">
        <f>G19*G20*G21</f>
        <v>2756.1705599999996</v>
      </c>
      <c r="H22" s="1535"/>
      <c r="I22" s="1210">
        <f>I19*I20*I21</f>
        <v>229.68087999999997</v>
      </c>
      <c r="J22" s="1535"/>
    </row>
    <row r="23" spans="1:10" x14ac:dyDescent="0.25">
      <c r="A23" s="173">
        <v>11</v>
      </c>
      <c r="B23" s="1203" t="s">
        <v>649</v>
      </c>
      <c r="C23" s="1204"/>
      <c r="D23" s="1204"/>
      <c r="E23" s="1204"/>
      <c r="F23" s="173" t="s">
        <v>172</v>
      </c>
      <c r="G23" s="1205">
        <f>G18+G22</f>
        <v>29523.069359770798</v>
      </c>
      <c r="H23" s="1206"/>
      <c r="I23" s="1205">
        <f>I18+I22</f>
        <v>2460.2557799809001</v>
      </c>
      <c r="J23" s="1207"/>
    </row>
    <row r="24" spans="1:10" ht="15.75" x14ac:dyDescent="0.25">
      <c r="A24" s="173">
        <v>12</v>
      </c>
      <c r="B24" s="1530" t="s">
        <v>114</v>
      </c>
      <c r="C24" s="1531"/>
      <c r="D24" s="1531"/>
      <c r="E24" s="1531"/>
      <c r="F24" s="173" t="s">
        <v>213</v>
      </c>
      <c r="G24" s="1210">
        <f>Характеристика!N18</f>
        <v>15919.85</v>
      </c>
      <c r="H24" s="1211"/>
      <c r="I24" s="1211"/>
      <c r="J24" s="1212"/>
    </row>
    <row r="25" spans="1:10" x14ac:dyDescent="0.25">
      <c r="A25" s="173">
        <v>13</v>
      </c>
      <c r="B25" s="1203" t="s">
        <v>484</v>
      </c>
      <c r="C25" s="1185"/>
      <c r="D25" s="1185"/>
      <c r="E25" s="1185"/>
      <c r="F25" s="173" t="s">
        <v>172</v>
      </c>
      <c r="G25" s="1213">
        <f>I23/G24</f>
        <v>0.15454013574128525</v>
      </c>
      <c r="H25" s="1214"/>
      <c r="I25" s="1532"/>
      <c r="J25" s="1293"/>
    </row>
    <row r="26" spans="1:10" x14ac:dyDescent="0.25">
      <c r="A26" s="174"/>
      <c r="B26" s="175"/>
      <c r="C26" s="140"/>
      <c r="D26" s="140"/>
      <c r="E26" s="140"/>
      <c r="F26" s="174"/>
      <c r="G26" s="176"/>
      <c r="H26" s="176"/>
      <c r="I26" s="177"/>
      <c r="J26" s="177"/>
    </row>
    <row r="27" spans="1:10" x14ac:dyDescent="0.25">
      <c r="A27" s="172" t="s">
        <v>214</v>
      </c>
      <c r="B27" s="170"/>
      <c r="C27" s="170"/>
      <c r="D27" s="170"/>
      <c r="E27" s="170"/>
      <c r="F27" s="170"/>
      <c r="G27" s="176"/>
      <c r="H27" s="176"/>
      <c r="I27" s="177"/>
      <c r="J27" s="177"/>
    </row>
    <row r="28" spans="1:10" x14ac:dyDescent="0.25">
      <c r="A28" s="140"/>
      <c r="B28" s="140"/>
      <c r="C28" s="553"/>
      <c r="D28" s="553"/>
      <c r="E28" s="553"/>
      <c r="F28" s="553"/>
      <c r="G28" s="176"/>
      <c r="H28" s="176"/>
      <c r="I28" s="177"/>
      <c r="J28" s="177"/>
    </row>
    <row r="29" spans="1:10" ht="46.9" customHeight="1" x14ac:dyDescent="0.25">
      <c r="A29" s="1217" t="s">
        <v>688</v>
      </c>
      <c r="B29" s="1217"/>
      <c r="C29" s="1217"/>
      <c r="D29" s="1217"/>
      <c r="E29" s="1217"/>
      <c r="F29" s="1217"/>
      <c r="G29" s="1217"/>
      <c r="H29" s="1217"/>
      <c r="I29" s="1217"/>
      <c r="J29" s="1217"/>
    </row>
    <row r="30" spans="1:10" ht="37.15" customHeight="1" x14ac:dyDescent="0.25">
      <c r="A30" s="1218" t="s">
        <v>490</v>
      </c>
      <c r="B30" s="1219"/>
      <c r="C30" s="1219"/>
      <c r="D30" s="1219"/>
      <c r="E30" s="1219"/>
      <c r="F30" s="1219"/>
      <c r="G30" s="1219"/>
      <c r="H30" s="1219"/>
      <c r="I30" s="1219"/>
      <c r="J30" s="1219"/>
    </row>
    <row r="31" spans="1:10" x14ac:dyDescent="0.25">
      <c r="A31" s="1234" t="s">
        <v>994</v>
      </c>
      <c r="B31" s="1235"/>
      <c r="C31" s="1235"/>
      <c r="D31" s="1235"/>
      <c r="E31" s="1236" t="s">
        <v>216</v>
      </c>
      <c r="F31" s="1236"/>
      <c r="G31" s="178">
        <f>розрахунок!D44</f>
        <v>247</v>
      </c>
      <c r="H31" s="1236" t="s">
        <v>217</v>
      </c>
      <c r="I31" s="1236"/>
      <c r="J31" s="178">
        <f>розрахунок!D46</f>
        <v>1987</v>
      </c>
    </row>
    <row r="32" spans="1:10" x14ac:dyDescent="0.25">
      <c r="A32" s="398"/>
      <c r="B32" s="462"/>
      <c r="C32" s="462"/>
      <c r="D32" s="462"/>
      <c r="E32" s="462"/>
      <c r="F32" s="462"/>
      <c r="G32" s="462"/>
      <c r="H32" s="462"/>
      <c r="I32" s="462"/>
      <c r="J32" s="462"/>
    </row>
    <row r="33" spans="1:10" x14ac:dyDescent="0.25">
      <c r="A33" s="526" t="s">
        <v>218</v>
      </c>
      <c r="B33" s="1529" t="s">
        <v>219</v>
      </c>
      <c r="C33" s="1529"/>
      <c r="D33" s="1529"/>
      <c r="E33" s="1529"/>
      <c r="F33" s="1529"/>
      <c r="G33" s="181"/>
      <c r="H33" s="181"/>
      <c r="I33" s="181"/>
      <c r="J33" s="181"/>
    </row>
    <row r="34" spans="1:10" ht="123.75" x14ac:dyDescent="0.25">
      <c r="A34" s="182" t="s">
        <v>220</v>
      </c>
      <c r="B34" s="1238" t="s">
        <v>221</v>
      </c>
      <c r="C34" s="1239"/>
      <c r="D34" s="183" t="s">
        <v>222</v>
      </c>
      <c r="E34" s="184" t="s">
        <v>223</v>
      </c>
      <c r="F34" s="1240" t="s">
        <v>224</v>
      </c>
      <c r="G34" s="1239"/>
      <c r="H34" s="185" t="s">
        <v>225</v>
      </c>
      <c r="I34" s="186" t="s">
        <v>226</v>
      </c>
      <c r="J34" s="186" t="s">
        <v>227</v>
      </c>
    </row>
    <row r="35" spans="1:10" x14ac:dyDescent="0.25">
      <c r="A35" s="187">
        <v>1</v>
      </c>
      <c r="B35" s="1227">
        <v>2</v>
      </c>
      <c r="C35" s="1228"/>
      <c r="D35" s="188">
        <v>3</v>
      </c>
      <c r="E35" s="188">
        <v>4</v>
      </c>
      <c r="F35" s="1229">
        <v>5</v>
      </c>
      <c r="G35" s="1230"/>
      <c r="H35" s="188">
        <v>6</v>
      </c>
      <c r="I35" s="188">
        <v>7</v>
      </c>
      <c r="J35" s="188">
        <v>8</v>
      </c>
    </row>
    <row r="36" spans="1:10" x14ac:dyDescent="0.25">
      <c r="A36" s="189">
        <v>1</v>
      </c>
      <c r="B36" s="1527" t="s">
        <v>689</v>
      </c>
      <c r="C36" s="1528"/>
      <c r="D36" s="858"/>
      <c r="E36" s="858"/>
      <c r="F36" s="858"/>
      <c r="G36" s="858"/>
      <c r="H36" s="554"/>
      <c r="I36" s="555"/>
      <c r="J36" s="556"/>
    </row>
    <row r="37" spans="1:10" ht="37.15" customHeight="1" x14ac:dyDescent="0.25">
      <c r="A37" s="189"/>
      <c r="B37" s="1516" t="s">
        <v>690</v>
      </c>
      <c r="C37" s="1170"/>
      <c r="D37" s="190">
        <f>Характеристика!H46</f>
        <v>653</v>
      </c>
      <c r="E37" s="225">
        <v>10</v>
      </c>
      <c r="F37" s="1517">
        <v>0.7</v>
      </c>
      <c r="G37" s="1518"/>
      <c r="H37" s="190">
        <f t="shared" ref="H37:H45" si="0">D37/100*F37*E37</f>
        <v>45.709999999999994</v>
      </c>
      <c r="I37" s="222">
        <v>2</v>
      </c>
      <c r="J37" s="557" t="s">
        <v>691</v>
      </c>
    </row>
    <row r="38" spans="1:10" ht="32.450000000000003" hidden="1" customHeight="1" x14ac:dyDescent="0.25">
      <c r="A38" s="189"/>
      <c r="B38" s="1516"/>
      <c r="C38" s="1170"/>
      <c r="D38" s="190"/>
      <c r="E38" s="225"/>
      <c r="F38" s="1517"/>
      <c r="G38" s="1518"/>
      <c r="H38" s="190"/>
      <c r="I38" s="222"/>
      <c r="J38" s="557"/>
    </row>
    <row r="39" spans="1:10" ht="40.15" hidden="1" customHeight="1" x14ac:dyDescent="0.25">
      <c r="A39" s="189"/>
      <c r="B39" s="1516" t="s">
        <v>692</v>
      </c>
      <c r="C39" s="1170"/>
      <c r="D39" s="190"/>
      <c r="E39" s="225">
        <v>6</v>
      </c>
      <c r="F39" s="1517">
        <v>1.1000000000000001</v>
      </c>
      <c r="G39" s="1518"/>
      <c r="H39" s="190">
        <f t="shared" si="0"/>
        <v>0</v>
      </c>
      <c r="I39" s="222">
        <v>2</v>
      </c>
      <c r="J39" s="557" t="s">
        <v>693</v>
      </c>
    </row>
    <row r="40" spans="1:10" ht="34.9" hidden="1" customHeight="1" x14ac:dyDescent="0.25">
      <c r="A40" s="189"/>
      <c r="B40" s="1516" t="s">
        <v>694</v>
      </c>
      <c r="C40" s="1170"/>
      <c r="D40" s="190"/>
      <c r="E40" s="225">
        <v>6</v>
      </c>
      <c r="F40" s="1517">
        <v>0.9</v>
      </c>
      <c r="G40" s="1518"/>
      <c r="H40" s="190">
        <f t="shared" si="0"/>
        <v>0</v>
      </c>
      <c r="I40" s="222">
        <v>2</v>
      </c>
      <c r="J40" s="557" t="s">
        <v>695</v>
      </c>
    </row>
    <row r="41" spans="1:10" ht="38.450000000000003" hidden="1" customHeight="1" x14ac:dyDescent="0.25">
      <c r="A41" s="189"/>
      <c r="B41" s="1516" t="s">
        <v>696</v>
      </c>
      <c r="C41" s="1170"/>
      <c r="D41" s="190"/>
      <c r="E41" s="225">
        <v>6</v>
      </c>
      <c r="F41" s="1517">
        <v>1.1000000000000001</v>
      </c>
      <c r="G41" s="1518"/>
      <c r="H41" s="190">
        <f t="shared" si="0"/>
        <v>0</v>
      </c>
      <c r="I41" s="222">
        <v>2</v>
      </c>
      <c r="J41" s="557" t="s">
        <v>697</v>
      </c>
    </row>
    <row r="42" spans="1:10" ht="30.75" hidden="1" customHeight="1" x14ac:dyDescent="0.25">
      <c r="A42" s="189"/>
      <c r="B42" s="1516" t="s">
        <v>698</v>
      </c>
      <c r="C42" s="1170"/>
      <c r="D42" s="190"/>
      <c r="E42" s="225">
        <v>6</v>
      </c>
      <c r="F42" s="1517">
        <v>1.35</v>
      </c>
      <c r="G42" s="1518"/>
      <c r="H42" s="190">
        <f t="shared" si="0"/>
        <v>0</v>
      </c>
      <c r="I42" s="222">
        <v>2</v>
      </c>
      <c r="J42" s="557" t="s">
        <v>699</v>
      </c>
    </row>
    <row r="43" spans="1:10" ht="32.450000000000003" customHeight="1" x14ac:dyDescent="0.25">
      <c r="A43" s="189" t="s">
        <v>230</v>
      </c>
      <c r="B43" s="1524" t="s">
        <v>700</v>
      </c>
      <c r="C43" s="1525"/>
      <c r="D43" s="190">
        <f>Характеристика!H47</f>
        <v>772</v>
      </c>
      <c r="E43" s="225">
        <v>10</v>
      </c>
      <c r="F43" s="1225">
        <v>0.18</v>
      </c>
      <c r="G43" s="1526"/>
      <c r="H43" s="190">
        <f t="shared" si="0"/>
        <v>13.895999999999999</v>
      </c>
      <c r="I43" s="527">
        <v>2</v>
      </c>
      <c r="J43" s="557" t="s">
        <v>701</v>
      </c>
    </row>
    <row r="44" spans="1:10" ht="30" hidden="1" customHeight="1" x14ac:dyDescent="0.25">
      <c r="A44" s="189"/>
      <c r="B44" s="1516" t="s">
        <v>702</v>
      </c>
      <c r="C44" s="1170"/>
      <c r="D44" s="190"/>
      <c r="E44" s="225">
        <v>6</v>
      </c>
      <c r="F44" s="1517">
        <v>1</v>
      </c>
      <c r="G44" s="1518"/>
      <c r="H44" s="190">
        <f t="shared" si="0"/>
        <v>0</v>
      </c>
      <c r="I44" s="222">
        <v>2</v>
      </c>
      <c r="J44" s="557" t="s">
        <v>703</v>
      </c>
    </row>
    <row r="45" spans="1:10" ht="45" hidden="1" customHeight="1" x14ac:dyDescent="0.25">
      <c r="A45" s="189"/>
      <c r="B45" s="1516" t="s">
        <v>704</v>
      </c>
      <c r="C45" s="1170"/>
      <c r="D45" s="190">
        <f>[1]Таблица_Характеристика!M58+[1]Таблица_Характеристика!N58</f>
        <v>0</v>
      </c>
      <c r="E45" s="225">
        <v>6</v>
      </c>
      <c r="F45" s="1517">
        <v>1.2</v>
      </c>
      <c r="G45" s="1518"/>
      <c r="H45" s="190">
        <f t="shared" si="0"/>
        <v>0</v>
      </c>
      <c r="I45" s="222">
        <v>2</v>
      </c>
      <c r="J45" s="557" t="s">
        <v>705</v>
      </c>
    </row>
    <row r="46" spans="1:10" hidden="1" x14ac:dyDescent="0.25">
      <c r="A46" s="189" t="s">
        <v>230</v>
      </c>
      <c r="B46" s="1519" t="s">
        <v>706</v>
      </c>
      <c r="C46" s="1520"/>
      <c r="D46" s="1521"/>
      <c r="E46" s="1521"/>
      <c r="F46" s="1521"/>
      <c r="G46" s="1521"/>
      <c r="H46" s="1522"/>
      <c r="I46" s="222"/>
      <c r="J46" s="557"/>
    </row>
    <row r="47" spans="1:10" ht="33.75" hidden="1" customHeight="1" x14ac:dyDescent="0.25">
      <c r="A47" s="189"/>
      <c r="B47" s="1250" t="s">
        <v>707</v>
      </c>
      <c r="C47" s="1523"/>
      <c r="D47" s="190"/>
      <c r="E47" s="225">
        <v>6</v>
      </c>
      <c r="F47" s="1225">
        <v>8.33</v>
      </c>
      <c r="G47" s="1328"/>
      <c r="H47" s="190"/>
      <c r="I47" s="222">
        <v>18</v>
      </c>
      <c r="J47" s="557" t="s">
        <v>708</v>
      </c>
    </row>
    <row r="48" spans="1:10" ht="35.450000000000003" customHeight="1" x14ac:dyDescent="0.25">
      <c r="A48" s="189" t="s">
        <v>234</v>
      </c>
      <c r="B48" s="1220" t="s">
        <v>709</v>
      </c>
      <c r="C48" s="1511"/>
      <c r="D48" s="194">
        <f>Характеристика!H48</f>
        <v>79</v>
      </c>
      <c r="E48" s="558">
        <v>20</v>
      </c>
      <c r="F48" s="1512">
        <v>3.6</v>
      </c>
      <c r="G48" s="1513"/>
      <c r="H48" s="194">
        <f>F48/100*D48*E48</f>
        <v>56.88000000000001</v>
      </c>
      <c r="I48" s="188">
        <v>3</v>
      </c>
      <c r="J48" s="559" t="s">
        <v>710</v>
      </c>
    </row>
    <row r="49" spans="1:10" ht="35.450000000000003" customHeight="1" x14ac:dyDescent="0.25">
      <c r="A49" s="189" t="s">
        <v>235</v>
      </c>
      <c r="B49" s="1220" t="s">
        <v>711</v>
      </c>
      <c r="C49" s="1511"/>
      <c r="D49" s="194">
        <f>Характеристика!H49</f>
        <v>192</v>
      </c>
      <c r="E49" s="558">
        <v>10</v>
      </c>
      <c r="F49" s="1512">
        <v>0.69</v>
      </c>
      <c r="G49" s="1513"/>
      <c r="H49" s="194">
        <f>F49/10*D49*E49</f>
        <v>132.47999999999996</v>
      </c>
      <c r="I49" s="188">
        <v>9</v>
      </c>
      <c r="J49" s="559" t="s">
        <v>712</v>
      </c>
    </row>
    <row r="50" spans="1:10" ht="35.450000000000003" hidden="1" customHeight="1" x14ac:dyDescent="0.25">
      <c r="A50" s="189" t="s">
        <v>250</v>
      </c>
      <c r="B50" s="1220" t="s">
        <v>974</v>
      </c>
      <c r="C50" s="1511"/>
      <c r="D50" s="194"/>
      <c r="E50" s="558">
        <v>20</v>
      </c>
      <c r="F50" s="1514">
        <v>0.8</v>
      </c>
      <c r="G50" s="1515"/>
      <c r="H50" s="194">
        <f>F50/100*D50*E50</f>
        <v>0</v>
      </c>
      <c r="I50" s="188">
        <v>3</v>
      </c>
      <c r="J50" s="559" t="s">
        <v>945</v>
      </c>
    </row>
    <row r="51" spans="1:10" ht="42.75" customHeight="1" x14ac:dyDescent="0.25">
      <c r="A51" s="189" t="s">
        <v>253</v>
      </c>
      <c r="B51" s="1220" t="s">
        <v>713</v>
      </c>
      <c r="C51" s="1511"/>
      <c r="D51" s="194">
        <f>Характеристика!G84</f>
        <v>72</v>
      </c>
      <c r="E51" s="558">
        <v>10</v>
      </c>
      <c r="F51" s="1512">
        <v>0.6</v>
      </c>
      <c r="G51" s="1513"/>
      <c r="H51" s="194">
        <f>F51/10*D51*E51</f>
        <v>43.2</v>
      </c>
      <c r="I51" s="188">
        <v>13</v>
      </c>
      <c r="J51" s="559" t="s">
        <v>714</v>
      </c>
    </row>
    <row r="52" spans="1:10" ht="33.6" customHeight="1" x14ac:dyDescent="0.25">
      <c r="A52" s="189" t="s">
        <v>863</v>
      </c>
      <c r="B52" s="1220" t="s">
        <v>882</v>
      </c>
      <c r="C52" s="1511"/>
      <c r="D52" s="194">
        <f>Характеристика!H44</f>
        <v>325</v>
      </c>
      <c r="E52" s="558">
        <v>20</v>
      </c>
      <c r="F52" s="1512">
        <v>0.2</v>
      </c>
      <c r="G52" s="1513"/>
      <c r="H52" s="194">
        <f>F52/100*D52*E52</f>
        <v>13</v>
      </c>
      <c r="I52" s="188">
        <v>20</v>
      </c>
      <c r="J52" s="559" t="s">
        <v>465</v>
      </c>
    </row>
    <row r="53" spans="1:10" x14ac:dyDescent="0.25">
      <c r="A53" s="208"/>
      <c r="B53" s="1260" t="s">
        <v>256</v>
      </c>
      <c r="C53" s="1261"/>
      <c r="D53" s="209"/>
      <c r="E53" s="210"/>
      <c r="F53" s="1262"/>
      <c r="G53" s="1262"/>
      <c r="H53" s="211">
        <f>SUM(H37:H52)</f>
        <v>305.16599999999994</v>
      </c>
      <c r="I53" s="212"/>
      <c r="J53" s="213"/>
    </row>
    <row r="54" spans="1:10" x14ac:dyDescent="0.25">
      <c r="A54" s="214"/>
      <c r="B54" s="215"/>
      <c r="C54" s="215"/>
      <c r="D54" s="214"/>
      <c r="E54" s="214"/>
      <c r="F54" s="214"/>
      <c r="G54" s="214"/>
      <c r="H54" s="216"/>
      <c r="I54" s="217"/>
      <c r="J54" s="217"/>
    </row>
    <row r="55" spans="1:10" x14ac:dyDescent="0.25">
      <c r="A55" s="1267" t="s">
        <v>258</v>
      </c>
      <c r="B55" s="1268"/>
      <c r="C55" s="1268"/>
      <c r="D55" s="1268"/>
      <c r="E55" s="1268"/>
      <c r="F55" s="1268"/>
      <c r="G55" s="1268"/>
      <c r="H55" s="1268"/>
      <c r="I55" s="1268"/>
      <c r="J55" s="1268"/>
    </row>
    <row r="56" spans="1:10" ht="84" x14ac:dyDescent="0.25">
      <c r="A56" s="1510" t="s">
        <v>181</v>
      </c>
      <c r="B56" s="1243"/>
      <c r="C56" s="218" t="s">
        <v>259</v>
      </c>
      <c r="D56" s="219" t="s">
        <v>260</v>
      </c>
      <c r="E56" s="220" t="s">
        <v>261</v>
      </c>
      <c r="F56" s="221" t="s">
        <v>262</v>
      </c>
      <c r="G56" s="221" t="s">
        <v>263</v>
      </c>
      <c r="H56" s="220" t="s">
        <v>264</v>
      </c>
      <c r="I56" s="1244" t="s">
        <v>984</v>
      </c>
      <c r="J56" s="1245"/>
    </row>
    <row r="57" spans="1:10" x14ac:dyDescent="0.25">
      <c r="A57" s="1303">
        <v>1</v>
      </c>
      <c r="B57" s="1243"/>
      <c r="C57" s="219">
        <v>2</v>
      </c>
      <c r="D57" s="222">
        <v>3</v>
      </c>
      <c r="E57" s="222">
        <v>4</v>
      </c>
      <c r="F57" s="222">
        <v>5</v>
      </c>
      <c r="G57" s="223"/>
      <c r="H57" s="222">
        <v>6</v>
      </c>
      <c r="I57" s="1255">
        <v>7</v>
      </c>
      <c r="J57" s="1256"/>
    </row>
    <row r="58" spans="1:10" x14ac:dyDescent="0.25">
      <c r="A58" s="1298" t="s">
        <v>188</v>
      </c>
      <c r="B58" s="753"/>
      <c r="C58" s="224">
        <f>H53</f>
        <v>305.16599999999994</v>
      </c>
      <c r="D58" s="225">
        <f>J31</f>
        <v>1987</v>
      </c>
      <c r="E58" s="190">
        <f>ROUND(C58/D58,2)</f>
        <v>0.15</v>
      </c>
      <c r="F58" s="190">
        <f>оклади!K7</f>
        <v>6700</v>
      </c>
      <c r="G58" s="197">
        <f>E58*F58</f>
        <v>1005</v>
      </c>
      <c r="H58" s="190"/>
      <c r="I58" s="1258">
        <f>G58*1.0734+H58</f>
        <v>1078.7669999999998</v>
      </c>
      <c r="J58" s="1259"/>
    </row>
    <row r="59" spans="1:10" x14ac:dyDescent="0.25">
      <c r="A59" s="543"/>
      <c r="B59" s="489"/>
      <c r="C59" s="560"/>
      <c r="D59" s="561"/>
      <c r="E59" s="561"/>
      <c r="F59" s="561"/>
      <c r="G59" s="562"/>
      <c r="H59" s="561"/>
      <c r="I59" s="561"/>
      <c r="J59" s="563"/>
    </row>
    <row r="60" spans="1:10" x14ac:dyDescent="0.25">
      <c r="A60" s="1508" t="s">
        <v>607</v>
      </c>
      <c r="B60" s="1508"/>
      <c r="C60" s="1508"/>
      <c r="D60" s="1508"/>
      <c r="E60" s="1508"/>
      <c r="F60" s="1508"/>
      <c r="G60" s="1508"/>
      <c r="H60" s="1508"/>
      <c r="I60" s="1508"/>
      <c r="J60" s="1508"/>
    </row>
    <row r="61" spans="1:10" ht="60" x14ac:dyDescent="0.25">
      <c r="A61" s="1269" t="s">
        <v>266</v>
      </c>
      <c r="B61" s="1270"/>
      <c r="C61" s="220" t="s">
        <v>267</v>
      </c>
      <c r="D61" s="1269" t="s">
        <v>479</v>
      </c>
      <c r="E61" s="753"/>
      <c r="F61" s="220" t="s">
        <v>269</v>
      </c>
      <c r="G61" s="1269" t="s">
        <v>715</v>
      </c>
      <c r="H61" s="753"/>
      <c r="I61" s="1269" t="s">
        <v>716</v>
      </c>
      <c r="J61" s="753"/>
    </row>
    <row r="62" spans="1:10" x14ac:dyDescent="0.25">
      <c r="A62" s="1269">
        <v>1</v>
      </c>
      <c r="B62" s="1270"/>
      <c r="C62" s="220">
        <v>2</v>
      </c>
      <c r="D62" s="1269">
        <v>3</v>
      </c>
      <c r="E62" s="753"/>
      <c r="F62" s="220">
        <v>4</v>
      </c>
      <c r="G62" s="1269">
        <v>5</v>
      </c>
      <c r="H62" s="753"/>
      <c r="I62" s="1269">
        <v>6</v>
      </c>
      <c r="J62" s="753"/>
    </row>
    <row r="63" spans="1:10" ht="44.45" customHeight="1" x14ac:dyDescent="0.25">
      <c r="A63" s="1298" t="s">
        <v>272</v>
      </c>
      <c r="B63" s="1298"/>
      <c r="C63" s="392">
        <f>прибирання!C49</f>
        <v>2502571.37</v>
      </c>
      <c r="D63" s="1273">
        <f>прибирання!D49</f>
        <v>5976607.4800000004</v>
      </c>
      <c r="E63" s="753"/>
      <c r="F63" s="459">
        <f>C63/D63*100</f>
        <v>41.872774452305173</v>
      </c>
      <c r="G63" s="1273">
        <f>I58</f>
        <v>1078.7669999999998</v>
      </c>
      <c r="H63" s="753"/>
      <c r="I63" s="1273">
        <f>F63*G63/100</f>
        <v>451.70967277589887</v>
      </c>
      <c r="J63" s="753"/>
    </row>
    <row r="64" spans="1:10" ht="22.15" customHeight="1" x14ac:dyDescent="0.25">
      <c r="A64" s="1298" t="s">
        <v>717</v>
      </c>
      <c r="B64" s="1298"/>
      <c r="C64" s="392">
        <f>прибирання!C50</f>
        <v>4320090.5999999996</v>
      </c>
      <c r="D64" s="1273">
        <f>прибирання!D50</f>
        <v>24679377</v>
      </c>
      <c r="E64" s="753"/>
      <c r="F64" s="459">
        <f>C64/D64*100</f>
        <v>17.504860839882628</v>
      </c>
      <c r="G64" s="1273">
        <f>I11+I12+I14+I17+I22+I63</f>
        <v>2061.4711677758987</v>
      </c>
      <c r="H64" s="753"/>
      <c r="I64" s="1273">
        <f>F64*G64/100</f>
        <v>360.85765917347436</v>
      </c>
      <c r="J64" s="753"/>
    </row>
    <row r="65" spans="1:10" ht="22.15" customHeight="1" x14ac:dyDescent="0.25">
      <c r="A65" s="1283" t="s">
        <v>976</v>
      </c>
      <c r="B65" s="1280"/>
      <c r="C65" s="392">
        <f>прибирання!C51</f>
        <v>248044.38</v>
      </c>
      <c r="D65" s="1273">
        <f>прибирання!D51</f>
        <v>13482135.970000001</v>
      </c>
      <c r="E65" s="753"/>
      <c r="F65" s="459">
        <f>C65/D65*100</f>
        <v>1.839800314667795</v>
      </c>
      <c r="G65" s="1281">
        <f>I11+I12+I14+I17+I22+I63</f>
        <v>2061.4711677758987</v>
      </c>
      <c r="H65" s="1282"/>
      <c r="I65" s="1273">
        <f>F65*G65/100</f>
        <v>37.926953031526857</v>
      </c>
      <c r="J65" s="753"/>
    </row>
    <row r="66" spans="1:10" x14ac:dyDescent="0.25">
      <c r="A66" s="1300" t="s">
        <v>212</v>
      </c>
      <c r="B66" s="1300"/>
      <c r="C66" s="393"/>
      <c r="D66" s="1279"/>
      <c r="E66" s="1509"/>
      <c r="F66" s="460"/>
      <c r="G66" s="1279"/>
      <c r="H66" s="1509"/>
      <c r="I66" s="1279">
        <f>SUM(I63:I65)</f>
        <v>850.49428498090015</v>
      </c>
      <c r="J66" s="1509"/>
    </row>
    <row r="67" spans="1:10" x14ac:dyDescent="0.25">
      <c r="A67" s="140"/>
      <c r="B67" s="140"/>
      <c r="C67" s="140"/>
      <c r="D67" s="140"/>
      <c r="E67" s="140"/>
      <c r="F67" s="140"/>
      <c r="G67" s="140"/>
      <c r="H67" s="140"/>
      <c r="I67" s="140"/>
      <c r="J67" s="140"/>
    </row>
    <row r="68" spans="1:10" x14ac:dyDescent="0.25">
      <c r="A68" s="172" t="s">
        <v>718</v>
      </c>
      <c r="B68" s="172"/>
      <c r="C68" s="172"/>
      <c r="D68" s="172"/>
      <c r="E68" s="172"/>
      <c r="F68" s="172"/>
      <c r="G68" s="172"/>
      <c r="H68" s="172"/>
      <c r="I68" s="172"/>
      <c r="J68" s="172"/>
    </row>
    <row r="69" spans="1:10" ht="102" x14ac:dyDescent="0.25">
      <c r="A69" s="1262" t="s">
        <v>719</v>
      </c>
      <c r="B69" s="1262"/>
      <c r="C69" s="1262"/>
      <c r="D69" s="183" t="s">
        <v>222</v>
      </c>
      <c r="E69" s="184" t="s">
        <v>985</v>
      </c>
      <c r="F69" s="453" t="s">
        <v>720</v>
      </c>
      <c r="G69" s="1419" t="s">
        <v>721</v>
      </c>
      <c r="H69" s="1419"/>
      <c r="I69" s="453" t="s">
        <v>722</v>
      </c>
      <c r="J69" s="453" t="s">
        <v>723</v>
      </c>
    </row>
    <row r="70" spans="1:10" x14ac:dyDescent="0.25">
      <c r="A70" s="1262">
        <v>1</v>
      </c>
      <c r="B70" s="1262"/>
      <c r="C70" s="1262"/>
      <c r="D70" s="183">
        <v>2</v>
      </c>
      <c r="E70" s="186">
        <v>3</v>
      </c>
      <c r="F70" s="453">
        <v>4</v>
      </c>
      <c r="G70" s="1419">
        <v>5</v>
      </c>
      <c r="H70" s="1419"/>
      <c r="I70" s="400">
        <v>6</v>
      </c>
      <c r="J70" s="400">
        <v>7</v>
      </c>
    </row>
    <row r="71" spans="1:10" x14ac:dyDescent="0.25">
      <c r="A71" s="1308" t="s">
        <v>724</v>
      </c>
      <c r="B71" s="1308"/>
      <c r="C71" s="1308"/>
      <c r="D71" s="458">
        <f>Характеристика!H44</f>
        <v>325</v>
      </c>
      <c r="E71" s="397">
        <v>20</v>
      </c>
      <c r="F71" s="397">
        <v>1.4999999999999999E-2</v>
      </c>
      <c r="G71" s="1420">
        <f>D71/100*E71*F71</f>
        <v>0.97499999999999998</v>
      </c>
      <c r="H71" s="1420"/>
      <c r="I71" s="458">
        <f>розрахунок!D50</f>
        <v>434.69</v>
      </c>
      <c r="J71" s="458">
        <f>G71*I71</f>
        <v>423.82274999999998</v>
      </c>
    </row>
  </sheetData>
  <mergeCells count="134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1:E61"/>
    <mergeCell ref="G61:H61"/>
    <mergeCell ref="I61:J61"/>
    <mergeCell ref="B53:C53"/>
    <mergeCell ref="F53:G53"/>
    <mergeCell ref="A55:J55"/>
    <mergeCell ref="A56:B56"/>
    <mergeCell ref="I56:J56"/>
    <mergeCell ref="B48:C48"/>
    <mergeCell ref="F48:G48"/>
    <mergeCell ref="B49:C49"/>
    <mergeCell ref="F49:G49"/>
    <mergeCell ref="B51:C51"/>
    <mergeCell ref="F51:G51"/>
    <mergeCell ref="B52:C52"/>
    <mergeCell ref="F52:G52"/>
    <mergeCell ref="B50:C50"/>
    <mergeCell ref="F50:G50"/>
    <mergeCell ref="A71:C71"/>
    <mergeCell ref="G71:H71"/>
    <mergeCell ref="A64:B64"/>
    <mergeCell ref="D64:E64"/>
    <mergeCell ref="G64:H64"/>
    <mergeCell ref="I64:J64"/>
    <mergeCell ref="A66:B66"/>
    <mergeCell ref="D66:E66"/>
    <mergeCell ref="G66:H66"/>
    <mergeCell ref="I66:J66"/>
    <mergeCell ref="A65:B65"/>
    <mergeCell ref="D65:E65"/>
    <mergeCell ref="G65:H65"/>
    <mergeCell ref="I65:J65"/>
    <mergeCell ref="G1:J1"/>
    <mergeCell ref="G2:J2"/>
    <mergeCell ref="G3:J3"/>
    <mergeCell ref="I4:J4"/>
    <mergeCell ref="A6:J6"/>
    <mergeCell ref="A7:J7"/>
    <mergeCell ref="A69:C69"/>
    <mergeCell ref="G69:H69"/>
    <mergeCell ref="A70:C70"/>
    <mergeCell ref="G70:H70"/>
    <mergeCell ref="A62:B62"/>
    <mergeCell ref="D62:E62"/>
    <mergeCell ref="G62:H62"/>
    <mergeCell ref="I62:J62"/>
    <mergeCell ref="A63:B63"/>
    <mergeCell ref="D63:E63"/>
    <mergeCell ref="G63:H63"/>
    <mergeCell ref="I63:J63"/>
    <mergeCell ref="A57:B57"/>
    <mergeCell ref="I57:J57"/>
    <mergeCell ref="A58:B58"/>
    <mergeCell ref="I58:J58"/>
    <mergeCell ref="A60:J60"/>
    <mergeCell ref="A61:B61"/>
  </mergeCells>
  <pageMargins left="0.7" right="0.7" top="0.75" bottom="0.75" header="0.3" footer="0.3"/>
  <pageSetup paperSize="9" scale="82" orientation="portrait" r:id="rId1"/>
  <rowBreaks count="1" manualBreakCount="1">
    <brk id="32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3"/>
  <sheetViews>
    <sheetView view="pageBreakPreview" topLeftCell="A4" zoomScale="60" zoomScaleNormal="100" workbookViewId="0">
      <selection activeCell="J23" sqref="J23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6" t="str">
        <f>сход.клітки!A1</f>
        <v xml:space="preserve">   м. Канів     Шевченка      47</v>
      </c>
      <c r="D1" s="1189" t="s">
        <v>204</v>
      </c>
      <c r="E1" s="1189"/>
      <c r="F1" s="1189"/>
      <c r="G1" s="1189"/>
    </row>
    <row r="2" spans="1:10" x14ac:dyDescent="0.25">
      <c r="D2" s="1189" t="s">
        <v>99</v>
      </c>
      <c r="E2" s="1189"/>
      <c r="F2" s="1189"/>
      <c r="G2" s="1189"/>
    </row>
    <row r="3" spans="1:10" x14ac:dyDescent="0.25">
      <c r="D3" s="1193" t="s">
        <v>619</v>
      </c>
      <c r="E3" s="1193"/>
      <c r="F3" s="1193"/>
      <c r="G3" s="1193"/>
    </row>
    <row r="4" spans="1:10" x14ac:dyDescent="0.25">
      <c r="D4" s="241"/>
      <c r="E4" s="242"/>
      <c r="F4" s="1190" t="s">
        <v>283</v>
      </c>
      <c r="G4" s="1190"/>
    </row>
    <row r="6" spans="1:10" x14ac:dyDescent="0.25">
      <c r="A6" s="1191" t="s">
        <v>287</v>
      </c>
      <c r="B6" s="1191"/>
      <c r="C6" s="1191"/>
      <c r="D6" s="1191"/>
      <c r="E6" s="1191"/>
      <c r="F6" s="1191"/>
      <c r="G6" s="1191"/>
      <c r="H6" s="519"/>
      <c r="I6" s="519"/>
      <c r="J6" s="519"/>
    </row>
    <row r="7" spans="1:10" x14ac:dyDescent="0.25">
      <c r="A7" s="1543" t="s">
        <v>735</v>
      </c>
      <c r="B7" s="1543"/>
      <c r="C7" s="1543"/>
      <c r="D7" s="1543"/>
      <c r="E7" s="1543"/>
      <c r="F7" s="1543"/>
      <c r="G7" s="1543"/>
    </row>
    <row r="9" spans="1:10" ht="38.25" x14ac:dyDescent="0.25">
      <c r="A9" s="469" t="s">
        <v>206</v>
      </c>
      <c r="B9" s="1186" t="s">
        <v>731</v>
      </c>
      <c r="C9" s="753"/>
      <c r="D9" s="753"/>
      <c r="E9" s="463" t="s">
        <v>208</v>
      </c>
      <c r="F9" s="469" t="s">
        <v>209</v>
      </c>
      <c r="G9" s="463" t="s">
        <v>737</v>
      </c>
    </row>
    <row r="10" spans="1:10" ht="30.6" customHeight="1" x14ac:dyDescent="0.25">
      <c r="A10" s="141">
        <v>1</v>
      </c>
      <c r="B10" s="1170" t="s">
        <v>942</v>
      </c>
      <c r="C10" s="753"/>
      <c r="D10" s="753"/>
      <c r="E10" s="564" t="s">
        <v>626</v>
      </c>
      <c r="F10" s="1546">
        <f>розрахунок!D9</f>
        <v>1750</v>
      </c>
      <c r="G10" s="753"/>
    </row>
    <row r="11" spans="1:10" ht="33.6" customHeight="1" x14ac:dyDescent="0.25">
      <c r="A11" s="141">
        <v>2</v>
      </c>
      <c r="B11" s="1170" t="s">
        <v>736</v>
      </c>
      <c r="C11" s="753"/>
      <c r="D11" s="753"/>
      <c r="E11" s="564" t="s">
        <v>172</v>
      </c>
      <c r="F11" s="1547">
        <v>0.05</v>
      </c>
      <c r="G11" s="1548"/>
    </row>
    <row r="12" spans="1:10" x14ac:dyDescent="0.25">
      <c r="A12" s="141">
        <v>5</v>
      </c>
      <c r="B12" s="1170" t="s">
        <v>486</v>
      </c>
      <c r="C12" s="753"/>
      <c r="D12" s="753"/>
      <c r="E12" s="564" t="s">
        <v>172</v>
      </c>
      <c r="F12" s="564">
        <f>G12*12</f>
        <v>203.1189421227794</v>
      </c>
      <c r="G12" s="565">
        <f>G23</f>
        <v>16.926578510231618</v>
      </c>
    </row>
    <row r="13" spans="1:10" x14ac:dyDescent="0.25">
      <c r="A13" s="141">
        <v>6</v>
      </c>
      <c r="B13" s="1545" t="s">
        <v>649</v>
      </c>
      <c r="C13" s="753"/>
      <c r="D13" s="753"/>
      <c r="E13" s="566" t="s">
        <v>172</v>
      </c>
      <c r="F13" s="566">
        <f>G13*12</f>
        <v>1253.1189421227796</v>
      </c>
      <c r="G13" s="567">
        <f>F10*F11+G12</f>
        <v>104.42657851023162</v>
      </c>
    </row>
    <row r="14" spans="1:10" ht="15.75" x14ac:dyDescent="0.25">
      <c r="A14" s="141">
        <v>7</v>
      </c>
      <c r="B14" s="1539" t="s">
        <v>114</v>
      </c>
      <c r="C14" s="1540"/>
      <c r="D14" s="1540"/>
      <c r="E14" s="566" t="s">
        <v>626</v>
      </c>
      <c r="F14" s="1541">
        <f>Характеристика!N18</f>
        <v>15919.85</v>
      </c>
      <c r="G14" s="1509"/>
    </row>
    <row r="15" spans="1:10" x14ac:dyDescent="0.25">
      <c r="A15" s="141">
        <v>8</v>
      </c>
      <c r="B15" s="1203" t="s">
        <v>484</v>
      </c>
      <c r="C15" s="753"/>
      <c r="D15" s="753"/>
      <c r="E15" s="209" t="s">
        <v>172</v>
      </c>
      <c r="F15" s="1542">
        <f>G13/F14</f>
        <v>6.5595202536601546E-3</v>
      </c>
      <c r="G15" s="753"/>
    </row>
    <row r="16" spans="1:10" x14ac:dyDescent="0.25">
      <c r="A16" s="139"/>
      <c r="B16" s="525"/>
      <c r="C16" s="31"/>
      <c r="D16" s="31"/>
      <c r="E16" s="504"/>
      <c r="F16" s="504"/>
      <c r="G16" s="568"/>
    </row>
    <row r="17" spans="1:7" x14ac:dyDescent="0.25">
      <c r="A17" s="1544" t="s">
        <v>607</v>
      </c>
      <c r="B17" s="1296"/>
      <c r="C17" s="1296"/>
      <c r="D17" s="1296"/>
      <c r="E17" s="1296"/>
      <c r="F17" s="1296"/>
      <c r="G17" s="1296"/>
    </row>
    <row r="18" spans="1:7" ht="96" x14ac:dyDescent="0.25">
      <c r="A18" s="1244" t="s">
        <v>266</v>
      </c>
      <c r="B18" s="1302"/>
      <c r="C18" s="221" t="s">
        <v>267</v>
      </c>
      <c r="D18" s="221" t="s">
        <v>732</v>
      </c>
      <c r="E18" s="220" t="s">
        <v>269</v>
      </c>
      <c r="F18" s="221" t="s">
        <v>733</v>
      </c>
      <c r="G18" s="220" t="s">
        <v>734</v>
      </c>
    </row>
    <row r="19" spans="1:7" x14ac:dyDescent="0.25">
      <c r="A19" s="1244">
        <v>1</v>
      </c>
      <c r="B19" s="1302"/>
      <c r="C19" s="221">
        <v>2</v>
      </c>
      <c r="D19" s="221">
        <v>3</v>
      </c>
      <c r="E19" s="221">
        <v>4</v>
      </c>
      <c r="F19" s="221">
        <v>5</v>
      </c>
      <c r="G19" s="220">
        <v>6</v>
      </c>
    </row>
    <row r="20" spans="1:7" ht="23.45" customHeight="1" x14ac:dyDescent="0.25">
      <c r="A20" s="1283" t="s">
        <v>272</v>
      </c>
      <c r="B20" s="1305"/>
      <c r="C20" s="392">
        <f>прибирання!C49</f>
        <v>2502571.37</v>
      </c>
      <c r="D20" s="232">
        <f>прибирання!D49</f>
        <v>5976607.4800000004</v>
      </c>
      <c r="E20" s="450">
        <f>C20/D20*100</f>
        <v>41.872774452305173</v>
      </c>
      <c r="F20" s="466">
        <v>0</v>
      </c>
      <c r="G20" s="232">
        <f>E20*F20/100</f>
        <v>0</v>
      </c>
    </row>
    <row r="21" spans="1:7" ht="28.15" customHeight="1" x14ac:dyDescent="0.25">
      <c r="A21" s="1283" t="s">
        <v>273</v>
      </c>
      <c r="B21" s="1305"/>
      <c r="C21" s="392">
        <f>прибирання!C50</f>
        <v>4320090.5999999996</v>
      </c>
      <c r="D21" s="232">
        <f>прибирання!D50</f>
        <v>24679377</v>
      </c>
      <c r="E21" s="450">
        <f>C21/D21*100</f>
        <v>17.504860839882628</v>
      </c>
      <c r="F21" s="466">
        <f>F10*F11+G20</f>
        <v>87.5</v>
      </c>
      <c r="G21" s="232">
        <f>E21*F21/100</f>
        <v>15.316753234897298</v>
      </c>
    </row>
    <row r="22" spans="1:7" ht="28.15" customHeight="1" x14ac:dyDescent="0.25">
      <c r="A22" s="1283" t="s">
        <v>976</v>
      </c>
      <c r="B22" s="1280"/>
      <c r="C22" s="392">
        <f>прибирання!C51</f>
        <v>248044.38</v>
      </c>
      <c r="D22" s="232">
        <f>прибирання!D51</f>
        <v>13482135.970000001</v>
      </c>
      <c r="E22" s="450">
        <f>C22/D22*100</f>
        <v>1.839800314667795</v>
      </c>
      <c r="F22" s="466">
        <f>F10*F11+G20</f>
        <v>87.5</v>
      </c>
      <c r="G22" s="232">
        <f>E22*F22/100</f>
        <v>1.6098252753343205</v>
      </c>
    </row>
    <row r="23" spans="1:7" ht="28.15" customHeight="1" x14ac:dyDescent="0.25">
      <c r="A23" s="1311" t="s">
        <v>274</v>
      </c>
      <c r="B23" s="1312"/>
      <c r="C23" s="393"/>
      <c r="D23" s="394"/>
      <c r="E23" s="451"/>
      <c r="F23" s="467"/>
      <c r="G23" s="394">
        <f>SUM(G20:G22)</f>
        <v>16.926578510231618</v>
      </c>
    </row>
  </sheetData>
  <mergeCells count="24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3:B23"/>
    <mergeCell ref="A22:B22"/>
  </mergeCells>
  <pageMargins left="0.7" right="0.7" top="0.75" bottom="0.75" header="0.3" footer="0.3"/>
  <pageSetup paperSize="9" scale="9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5"/>
  <sheetViews>
    <sheetView view="pageBreakPreview" topLeftCell="A4" zoomScale="60" zoomScaleNormal="100" workbookViewId="0">
      <selection activeCell="G16" sqref="G16:H16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6" t="str">
        <f>дератизація!A1</f>
        <v xml:space="preserve">   м. Канів     Шевченка      47</v>
      </c>
      <c r="E1" s="1189" t="s">
        <v>204</v>
      </c>
      <c r="F1" s="1189"/>
      <c r="G1" s="1189"/>
      <c r="H1" s="1189"/>
    </row>
    <row r="2" spans="1:10" x14ac:dyDescent="0.25">
      <c r="E2" s="1189" t="s">
        <v>99</v>
      </c>
      <c r="F2" s="1189"/>
      <c r="G2" s="1189"/>
      <c r="H2" s="1189"/>
    </row>
    <row r="3" spans="1:10" x14ac:dyDescent="0.25">
      <c r="E3" s="1193" t="s">
        <v>619</v>
      </c>
      <c r="F3" s="1193"/>
      <c r="G3" s="1193"/>
      <c r="H3" s="1193"/>
    </row>
    <row r="4" spans="1:10" x14ac:dyDescent="0.25">
      <c r="E4" s="241"/>
      <c r="F4" s="242"/>
      <c r="G4" s="1190" t="s">
        <v>283</v>
      </c>
      <c r="H4" s="1190"/>
    </row>
    <row r="6" spans="1:10" x14ac:dyDescent="0.25">
      <c r="A6" s="1191" t="s">
        <v>287</v>
      </c>
      <c r="B6" s="1191"/>
      <c r="C6" s="1191"/>
      <c r="D6" s="1191"/>
      <c r="E6" s="1191"/>
      <c r="F6" s="1191"/>
      <c r="G6" s="1191"/>
      <c r="H6" s="1191"/>
      <c r="I6" s="519"/>
      <c r="J6" s="519"/>
    </row>
    <row r="7" spans="1:10" x14ac:dyDescent="0.25">
      <c r="A7" s="1543" t="s">
        <v>748</v>
      </c>
      <c r="B7" s="1543"/>
      <c r="C7" s="1543"/>
      <c r="D7" s="1543"/>
      <c r="E7" s="1543"/>
      <c r="F7" s="1543"/>
      <c r="G7" s="1543"/>
      <c r="H7" s="1543"/>
    </row>
    <row r="9" spans="1:10" ht="39" x14ac:dyDescent="0.25">
      <c r="A9" s="473" t="s">
        <v>206</v>
      </c>
      <c r="B9" s="1549" t="s">
        <v>207</v>
      </c>
      <c r="C9" s="1549"/>
      <c r="D9" s="1549"/>
      <c r="E9" s="1549"/>
      <c r="F9" s="473" t="s">
        <v>208</v>
      </c>
      <c r="G9" s="473" t="s">
        <v>209</v>
      </c>
      <c r="H9" s="473" t="s">
        <v>210</v>
      </c>
    </row>
    <row r="10" spans="1:10" ht="24.6" customHeight="1" x14ac:dyDescent="0.25">
      <c r="A10" s="201">
        <v>1</v>
      </c>
      <c r="B10" s="1555" t="s">
        <v>747</v>
      </c>
      <c r="C10" s="1555"/>
      <c r="D10" s="1555"/>
      <c r="E10" s="1555"/>
      <c r="F10" s="455" t="s">
        <v>172</v>
      </c>
      <c r="G10" s="458">
        <f>H10*12</f>
        <v>22963.199999999997</v>
      </c>
      <c r="H10" s="458">
        <f>ROUND(239.2*Характеристика!I12,2)</f>
        <v>1913.6</v>
      </c>
    </row>
    <row r="11" spans="1:10" ht="35.450000000000003" customHeight="1" x14ac:dyDescent="0.25">
      <c r="A11" s="201">
        <v>2</v>
      </c>
      <c r="B11" s="1442" t="s">
        <v>621</v>
      </c>
      <c r="C11" s="1442"/>
      <c r="D11" s="1442"/>
      <c r="E11" s="1442"/>
      <c r="F11" s="455" t="s">
        <v>172</v>
      </c>
      <c r="G11" s="458">
        <f>H11*12</f>
        <v>5051.9039999999995</v>
      </c>
      <c r="H11" s="458">
        <f>H10*розрахунок!D40/100</f>
        <v>420.99199999999996</v>
      </c>
    </row>
    <row r="12" spans="1:10" x14ac:dyDescent="0.25">
      <c r="A12" s="201">
        <v>3</v>
      </c>
      <c r="B12" s="1442" t="s">
        <v>486</v>
      </c>
      <c r="C12" s="1442"/>
      <c r="D12" s="1442"/>
      <c r="E12" s="1442"/>
      <c r="F12" s="455" t="s">
        <v>172</v>
      </c>
      <c r="G12" s="458">
        <f>H12*12</f>
        <v>10805.7121152</v>
      </c>
      <c r="H12" s="458">
        <f>H24</f>
        <v>900.4760096</v>
      </c>
    </row>
    <row r="13" spans="1:10" x14ac:dyDescent="0.25">
      <c r="A13" s="201">
        <v>4</v>
      </c>
      <c r="B13" s="1442" t="s">
        <v>473</v>
      </c>
      <c r="C13" s="1442"/>
      <c r="D13" s="1442"/>
      <c r="E13" s="1442"/>
      <c r="F13" s="455" t="s">
        <v>172</v>
      </c>
      <c r="G13" s="458">
        <f>H13*12</f>
        <v>498.24</v>
      </c>
      <c r="H13" s="458">
        <f>ROUND(5.19*Характеристика!I12,2)</f>
        <v>41.52</v>
      </c>
    </row>
    <row r="14" spans="1:10" x14ac:dyDescent="0.25">
      <c r="A14" s="201">
        <v>5</v>
      </c>
      <c r="B14" s="1442" t="s">
        <v>474</v>
      </c>
      <c r="C14" s="1442"/>
      <c r="D14" s="1442"/>
      <c r="E14" s="1442"/>
      <c r="F14" s="455" t="s">
        <v>172</v>
      </c>
      <c r="G14" s="458">
        <f>H14*12</f>
        <v>0</v>
      </c>
      <c r="H14" s="458">
        <v>0</v>
      </c>
    </row>
    <row r="15" spans="1:10" x14ac:dyDescent="0.25">
      <c r="A15" s="201">
        <v>6</v>
      </c>
      <c r="B15" s="1549" t="s">
        <v>649</v>
      </c>
      <c r="C15" s="1549"/>
      <c r="D15" s="1549"/>
      <c r="E15" s="1549"/>
      <c r="F15" s="209" t="s">
        <v>172</v>
      </c>
      <c r="G15" s="570">
        <f>SUM(G10:G14)</f>
        <v>39319.056115199994</v>
      </c>
      <c r="H15" s="570">
        <f>SUM(H10:H14)</f>
        <v>3276.5880095999996</v>
      </c>
    </row>
    <row r="16" spans="1:10" ht="15.75" x14ac:dyDescent="0.25">
      <c r="A16" s="201">
        <v>7</v>
      </c>
      <c r="B16" s="1550" t="s">
        <v>114</v>
      </c>
      <c r="C16" s="1550"/>
      <c r="D16" s="1550"/>
      <c r="E16" s="1550"/>
      <c r="F16" s="455" t="s">
        <v>213</v>
      </c>
      <c r="G16" s="1551">
        <f>Характеристика!N18</f>
        <v>15919.85</v>
      </c>
      <c r="H16" s="1437"/>
    </row>
    <row r="17" spans="1:8" x14ac:dyDescent="0.25">
      <c r="A17" s="201">
        <v>8</v>
      </c>
      <c r="B17" s="1203" t="s">
        <v>484</v>
      </c>
      <c r="C17" s="1185"/>
      <c r="D17" s="1185"/>
      <c r="E17" s="1185"/>
      <c r="F17" s="209" t="s">
        <v>172</v>
      </c>
      <c r="G17" s="1552">
        <f>H15/G16</f>
        <v>0.2058177689865168</v>
      </c>
      <c r="H17" s="1553"/>
    </row>
    <row r="18" spans="1:8" x14ac:dyDescent="0.25">
      <c r="A18" s="172"/>
      <c r="B18" s="525"/>
      <c r="C18" s="172"/>
      <c r="D18" s="172"/>
      <c r="E18" s="172"/>
      <c r="F18" s="504"/>
      <c r="G18" s="569"/>
      <c r="H18" s="569"/>
    </row>
    <row r="19" spans="1:8" hidden="1" x14ac:dyDescent="0.25">
      <c r="A19" s="1544" t="s">
        <v>744</v>
      </c>
      <c r="B19" s="1554"/>
      <c r="C19" s="1554"/>
      <c r="D19" s="1554"/>
      <c r="E19" s="1554"/>
      <c r="F19" s="140"/>
      <c r="G19" s="140"/>
      <c r="H19" s="140"/>
    </row>
    <row r="20" spans="1:8" ht="132" hidden="1" x14ac:dyDescent="0.25">
      <c r="A20" s="1244" t="s">
        <v>266</v>
      </c>
      <c r="B20" s="1302"/>
      <c r="C20" s="221" t="s">
        <v>267</v>
      </c>
      <c r="D20" s="221" t="s">
        <v>479</v>
      </c>
      <c r="E20" s="220" t="s">
        <v>269</v>
      </c>
      <c r="F20" s="1244" t="s">
        <v>745</v>
      </c>
      <c r="G20" s="1243"/>
      <c r="H20" s="220" t="s">
        <v>746</v>
      </c>
    </row>
    <row r="21" spans="1:8" hidden="1" x14ac:dyDescent="0.25">
      <c r="A21" s="1244">
        <v>1</v>
      </c>
      <c r="B21" s="1302"/>
      <c r="C21" s="221">
        <v>2</v>
      </c>
      <c r="D21" s="221">
        <v>3</v>
      </c>
      <c r="E21" s="221">
        <v>4</v>
      </c>
      <c r="F21" s="1244">
        <v>5</v>
      </c>
      <c r="G21" s="1243"/>
      <c r="H21" s="220">
        <v>6</v>
      </c>
    </row>
    <row r="22" spans="1:8" ht="25.9" hidden="1" customHeight="1" x14ac:dyDescent="0.25">
      <c r="A22" s="1283" t="s">
        <v>272</v>
      </c>
      <c r="B22" s="1305"/>
      <c r="C22" s="392"/>
      <c r="D22" s="232"/>
      <c r="E22" s="450">
        <v>14.7</v>
      </c>
      <c r="F22" s="1281">
        <f>H10</f>
        <v>1913.6</v>
      </c>
      <c r="G22" s="849"/>
      <c r="H22" s="232">
        <f>E22*F22/100</f>
        <v>281.29919999999998</v>
      </c>
    </row>
    <row r="23" spans="1:8" ht="30.6" hidden="1" customHeight="1" x14ac:dyDescent="0.25">
      <c r="A23" s="1283" t="s">
        <v>273</v>
      </c>
      <c r="B23" s="1305"/>
      <c r="C23" s="392"/>
      <c r="D23" s="232"/>
      <c r="E23" s="450">
        <v>23.3</v>
      </c>
      <c r="F23" s="1281">
        <f>H10+H11+H13+H14+H22</f>
        <v>2657.4111999999996</v>
      </c>
      <c r="G23" s="849"/>
      <c r="H23" s="232">
        <f>E23*F23/100</f>
        <v>619.17680959999996</v>
      </c>
    </row>
    <row r="24" spans="1:8" ht="22.9" hidden="1" customHeight="1" x14ac:dyDescent="0.25">
      <c r="A24" s="1311" t="s">
        <v>274</v>
      </c>
      <c r="B24" s="1312"/>
      <c r="C24" s="393"/>
      <c r="D24" s="394"/>
      <c r="E24" s="451"/>
      <c r="F24" s="1313"/>
      <c r="G24" s="849"/>
      <c r="H24" s="394">
        <f>SUM(H22:H23)</f>
        <v>900.4760096</v>
      </c>
    </row>
    <row r="25" spans="1:8" hidden="1" x14ac:dyDescent="0.25"/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4" sqref="I14:J14"/>
    </sheetView>
  </sheetViews>
  <sheetFormatPr defaultRowHeight="15" x14ac:dyDescent="0.25"/>
  <cols>
    <col min="9" max="9" width="10.5703125" customWidth="1"/>
    <col min="10" max="10" width="9.42578125" bestFit="1" customWidth="1"/>
  </cols>
  <sheetData>
    <row r="1" spans="1:10" x14ac:dyDescent="0.25">
      <c r="A1" s="6" t="str">
        <f>дератизація!A1</f>
        <v xml:space="preserve">   м. Канів     Шевченка      47</v>
      </c>
      <c r="G1" s="1189" t="s">
        <v>204</v>
      </c>
      <c r="H1" s="1189"/>
      <c r="I1" s="1189"/>
      <c r="J1" s="1189"/>
    </row>
    <row r="2" spans="1:10" x14ac:dyDescent="0.25">
      <c r="G2" s="1189" t="s">
        <v>99</v>
      </c>
      <c r="H2" s="1189"/>
      <c r="I2" s="1189"/>
      <c r="J2" s="1189"/>
    </row>
    <row r="3" spans="1:10" x14ac:dyDescent="0.25">
      <c r="G3" s="1193" t="s">
        <v>619</v>
      </c>
      <c r="H3" s="1193"/>
      <c r="I3" s="1193"/>
      <c r="J3" s="1193"/>
    </row>
    <row r="4" spans="1:10" x14ac:dyDescent="0.25">
      <c r="G4" s="241"/>
      <c r="H4" s="242"/>
      <c r="I4" s="1190" t="s">
        <v>283</v>
      </c>
      <c r="J4" s="1190"/>
    </row>
    <row r="6" spans="1:10" x14ac:dyDescent="0.25">
      <c r="A6" s="1191" t="s">
        <v>287</v>
      </c>
      <c r="B6" s="1191"/>
      <c r="C6" s="1191"/>
      <c r="D6" s="1191"/>
      <c r="E6" s="1191"/>
      <c r="F6" s="1191"/>
      <c r="G6" s="1191"/>
      <c r="H6" s="1191"/>
      <c r="I6" s="1191"/>
      <c r="J6" s="1191"/>
    </row>
    <row r="7" spans="1:10" x14ac:dyDescent="0.25">
      <c r="A7" s="1543" t="s">
        <v>738</v>
      </c>
      <c r="B7" s="1543"/>
      <c r="C7" s="1543"/>
      <c r="D7" s="1543"/>
      <c r="E7" s="1543"/>
      <c r="F7" s="1543"/>
      <c r="G7" s="1543"/>
      <c r="H7" s="1543"/>
      <c r="I7" s="1543"/>
      <c r="J7" s="1543"/>
    </row>
    <row r="9" spans="1:10" ht="25.5" x14ac:dyDescent="0.25">
      <c r="A9" s="141" t="s">
        <v>206</v>
      </c>
      <c r="B9" s="1186" t="s">
        <v>207</v>
      </c>
      <c r="C9" s="1441"/>
      <c r="D9" s="1441"/>
      <c r="E9" s="1441"/>
      <c r="F9" s="1441"/>
      <c r="G9" s="1441"/>
      <c r="H9" s="469" t="s">
        <v>208</v>
      </c>
      <c r="I9" s="469" t="s">
        <v>209</v>
      </c>
      <c r="J9" s="469" t="s">
        <v>476</v>
      </c>
    </row>
    <row r="10" spans="1:10" ht="93.75" customHeight="1" x14ac:dyDescent="0.25">
      <c r="A10" s="141">
        <v>1</v>
      </c>
      <c r="B10" s="1170" t="s">
        <v>739</v>
      </c>
      <c r="C10" s="1171"/>
      <c r="D10" s="1171"/>
      <c r="E10" s="1171"/>
      <c r="F10" s="1171"/>
      <c r="G10" s="1171"/>
      <c r="H10" s="400" t="s">
        <v>172</v>
      </c>
      <c r="I10" s="651">
        <f>ROUND(J10*12,2)</f>
        <v>18345.36</v>
      </c>
      <c r="J10" s="490">
        <f>розрахунок!D53</f>
        <v>1528.78</v>
      </c>
    </row>
    <row r="11" spans="1:10" x14ac:dyDescent="0.25">
      <c r="A11" s="141">
        <v>2</v>
      </c>
      <c r="B11" s="1170" t="s">
        <v>742</v>
      </c>
      <c r="C11" s="1171"/>
      <c r="D11" s="1171"/>
      <c r="E11" s="1171"/>
      <c r="F11" s="1171"/>
      <c r="G11" s="1171"/>
      <c r="H11" s="400" t="s">
        <v>159</v>
      </c>
      <c r="I11" s="1558">
        <f>Характеристика!I12</f>
        <v>8</v>
      </c>
      <c r="J11" s="1558"/>
    </row>
    <row r="12" spans="1:10" x14ac:dyDescent="0.25">
      <c r="A12" s="141">
        <v>3</v>
      </c>
      <c r="B12" s="1170" t="s">
        <v>743</v>
      </c>
      <c r="C12" s="1171"/>
      <c r="D12" s="1171"/>
      <c r="E12" s="1171"/>
      <c r="F12" s="1171"/>
      <c r="G12" s="1171"/>
      <c r="H12" s="400" t="s">
        <v>172</v>
      </c>
      <c r="I12" s="490">
        <f>I10*I11</f>
        <v>146762.88</v>
      </c>
      <c r="J12" s="490">
        <f>J10*I11</f>
        <v>12230.24</v>
      </c>
    </row>
    <row r="13" spans="1:10" x14ac:dyDescent="0.25">
      <c r="A13" s="141">
        <v>5</v>
      </c>
      <c r="B13" s="1545" t="s">
        <v>649</v>
      </c>
      <c r="C13" s="1185"/>
      <c r="D13" s="1185"/>
      <c r="E13" s="1185"/>
      <c r="F13" s="1185"/>
      <c r="G13" s="1185"/>
      <c r="H13" s="141" t="s">
        <v>172</v>
      </c>
      <c r="I13" s="491">
        <f>I12</f>
        <v>146762.88</v>
      </c>
      <c r="J13" s="491">
        <f>J12</f>
        <v>12230.24</v>
      </c>
    </row>
    <row r="14" spans="1:10" x14ac:dyDescent="0.25">
      <c r="A14" s="141">
        <v>7</v>
      </c>
      <c r="B14" s="1170" t="s">
        <v>114</v>
      </c>
      <c r="C14" s="1171"/>
      <c r="D14" s="1171"/>
      <c r="E14" s="1171"/>
      <c r="F14" s="1171"/>
      <c r="G14" s="1171"/>
      <c r="H14" s="400" t="s">
        <v>626</v>
      </c>
      <c r="I14" s="1198">
        <f>Характеристика!N18</f>
        <v>15919.85</v>
      </c>
      <c r="J14" s="1198"/>
    </row>
    <row r="15" spans="1:10" x14ac:dyDescent="0.25">
      <c r="A15" s="141">
        <v>8</v>
      </c>
      <c r="B15" s="1292" t="s">
        <v>484</v>
      </c>
      <c r="C15" s="1556"/>
      <c r="D15" s="1556"/>
      <c r="E15" s="1556"/>
      <c r="F15" s="1436"/>
      <c r="G15" s="1437"/>
      <c r="H15" s="141" t="s">
        <v>172</v>
      </c>
      <c r="I15" s="1557">
        <f>J13/I14</f>
        <v>0.76823839420597551</v>
      </c>
      <c r="J15" s="1557"/>
    </row>
    <row r="16" spans="1:10" x14ac:dyDescent="0.25">
      <c r="A16" s="139"/>
      <c r="B16" s="525"/>
      <c r="C16" s="172"/>
      <c r="D16" s="172"/>
      <c r="E16" s="172"/>
      <c r="F16" s="140"/>
      <c r="G16" s="140"/>
      <c r="H16" s="139"/>
      <c r="I16" s="569"/>
      <c r="J16" s="569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8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B7800-2960-4FA4-84B5-8448BAA7B895}">
  <dimension ref="A1:J33"/>
  <sheetViews>
    <sheetView topLeftCell="A21" zoomScaleNormal="100" workbookViewId="0">
      <selection activeCell="G30" sqref="G30"/>
    </sheetView>
  </sheetViews>
  <sheetFormatPr defaultRowHeight="15" x14ac:dyDescent="0.25"/>
  <cols>
    <col min="6" max="6" width="8.855468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 xml:space="preserve">   м. Канів     Шевченка      47</v>
      </c>
      <c r="F1" s="1189" t="s">
        <v>204</v>
      </c>
      <c r="G1" s="1189"/>
      <c r="H1" s="1189"/>
      <c r="I1" s="1189"/>
    </row>
    <row r="2" spans="1:10" x14ac:dyDescent="0.25">
      <c r="F2" s="1189" t="s">
        <v>99</v>
      </c>
      <c r="G2" s="1189"/>
      <c r="H2" s="1189"/>
      <c r="I2" s="1189"/>
    </row>
    <row r="3" spans="1:10" x14ac:dyDescent="0.25">
      <c r="F3" s="1193" t="s">
        <v>619</v>
      </c>
      <c r="G3" s="1193"/>
      <c r="H3" s="1193"/>
      <c r="I3" s="1193"/>
    </row>
    <row r="4" spans="1:10" x14ac:dyDescent="0.25">
      <c r="F4" s="241"/>
      <c r="G4" s="242"/>
      <c r="H4" s="1190" t="s">
        <v>283</v>
      </c>
      <c r="I4" s="1190"/>
    </row>
    <row r="6" spans="1:10" x14ac:dyDescent="0.25">
      <c r="A6" s="1191" t="s">
        <v>287</v>
      </c>
      <c r="B6" s="1191"/>
      <c r="C6" s="1191"/>
      <c r="D6" s="1191"/>
      <c r="E6" s="1191"/>
      <c r="F6" s="1191"/>
      <c r="G6" s="1191"/>
      <c r="H6" s="1191"/>
      <c r="I6" s="1191"/>
      <c r="J6" s="519"/>
    </row>
    <row r="7" spans="1:10" ht="63" customHeight="1" x14ac:dyDescent="0.25">
      <c r="A7" s="1506" t="s">
        <v>937</v>
      </c>
      <c r="B7" s="1506"/>
      <c r="C7" s="1506"/>
      <c r="D7" s="1506"/>
      <c r="E7" s="1506"/>
      <c r="F7" s="1506"/>
      <c r="G7" s="1506"/>
      <c r="H7" s="1506"/>
      <c r="I7" s="1506"/>
    </row>
    <row r="9" spans="1:10" ht="26.25" x14ac:dyDescent="0.25">
      <c r="A9" s="1441" t="s">
        <v>650</v>
      </c>
      <c r="B9" s="1441"/>
      <c r="C9" s="1441"/>
      <c r="D9" s="1441"/>
      <c r="E9" s="753"/>
      <c r="F9" s="753"/>
      <c r="G9" s="473" t="s">
        <v>208</v>
      </c>
      <c r="H9" s="173" t="s">
        <v>209</v>
      </c>
      <c r="I9" s="173" t="s">
        <v>476</v>
      </c>
    </row>
    <row r="10" spans="1:10" ht="29.45" hidden="1" customHeight="1" x14ac:dyDescent="0.25">
      <c r="A10" s="1442" t="s">
        <v>661</v>
      </c>
      <c r="B10" s="1442"/>
      <c r="C10" s="1442"/>
      <c r="D10" s="1442"/>
      <c r="E10" s="753"/>
      <c r="F10" s="753"/>
      <c r="G10" s="455" t="s">
        <v>172</v>
      </c>
      <c r="H10" s="493">
        <f>F33</f>
        <v>0</v>
      </c>
      <c r="I10" s="493">
        <f>ROUND(H10/12,2)</f>
        <v>0</v>
      </c>
    </row>
    <row r="11" spans="1:10" ht="28.15" hidden="1" customHeight="1" x14ac:dyDescent="0.25">
      <c r="A11" s="1442" t="s">
        <v>290</v>
      </c>
      <c r="B11" s="1442"/>
      <c r="C11" s="1442"/>
      <c r="D11" s="1442"/>
      <c r="E11" s="753"/>
      <c r="F11" s="753"/>
      <c r="G11" s="455" t="s">
        <v>172</v>
      </c>
      <c r="H11" s="493">
        <f>I11*12</f>
        <v>0</v>
      </c>
      <c r="I11" s="493">
        <f>'обслуг. пожежн'!I10*розрахунок!D40/100</f>
        <v>0</v>
      </c>
    </row>
    <row r="12" spans="1:10" x14ac:dyDescent="0.25">
      <c r="A12" s="1442" t="s">
        <v>486</v>
      </c>
      <c r="B12" s="1442"/>
      <c r="C12" s="1442"/>
      <c r="D12" s="1442"/>
      <c r="E12" s="753"/>
      <c r="F12" s="753"/>
      <c r="G12" s="455" t="s">
        <v>172</v>
      </c>
      <c r="H12" s="493">
        <f>I12*12</f>
        <v>0</v>
      </c>
      <c r="I12" s="493">
        <f>I24</f>
        <v>0</v>
      </c>
    </row>
    <row r="13" spans="1:10" x14ac:dyDescent="0.25">
      <c r="A13" s="1442" t="s">
        <v>622</v>
      </c>
      <c r="B13" s="1442"/>
      <c r="C13" s="1442"/>
      <c r="D13" s="1442"/>
      <c r="E13" s="753"/>
      <c r="F13" s="753"/>
      <c r="G13" s="455" t="s">
        <v>172</v>
      </c>
      <c r="H13" s="493">
        <f>I13*12</f>
        <v>0</v>
      </c>
      <c r="I13" s="493">
        <f>G30</f>
        <v>0</v>
      </c>
    </row>
    <row r="14" spans="1:10" x14ac:dyDescent="0.25">
      <c r="A14" s="1489" t="s">
        <v>651</v>
      </c>
      <c r="B14" s="1171"/>
      <c r="C14" s="1171"/>
      <c r="D14" s="1171"/>
      <c r="E14" s="753"/>
      <c r="F14" s="753"/>
      <c r="G14" s="455" t="s">
        <v>172</v>
      </c>
      <c r="H14" s="471">
        <f>I33</f>
        <v>0</v>
      </c>
      <c r="I14" s="494">
        <f>H14/12</f>
        <v>0</v>
      </c>
    </row>
    <row r="15" spans="1:10" x14ac:dyDescent="0.25">
      <c r="A15" s="1416" t="s">
        <v>649</v>
      </c>
      <c r="B15" s="858"/>
      <c r="C15" s="858"/>
      <c r="D15" s="858"/>
      <c r="E15" s="858"/>
      <c r="F15" s="859"/>
      <c r="G15" s="209" t="s">
        <v>172</v>
      </c>
      <c r="H15" s="495">
        <f>SUM(H10:H14)</f>
        <v>0</v>
      </c>
      <c r="I15" s="496">
        <f>SUM(I10:I14)</f>
        <v>0</v>
      </c>
    </row>
    <row r="16" spans="1:10" ht="14.45" customHeight="1" x14ac:dyDescent="0.25">
      <c r="A16" s="1430" t="s">
        <v>114</v>
      </c>
      <c r="B16" s="1490"/>
      <c r="C16" s="1490"/>
      <c r="D16" s="1490"/>
      <c r="E16" s="1490"/>
      <c r="F16" s="1491"/>
      <c r="G16" s="209" t="s">
        <v>172</v>
      </c>
      <c r="H16" s="1492">
        <f>Характеристика!N18</f>
        <v>15919.85</v>
      </c>
      <c r="I16" s="1222"/>
    </row>
    <row r="17" spans="1:9" x14ac:dyDescent="0.25">
      <c r="A17" s="1185" t="s">
        <v>484</v>
      </c>
      <c r="B17" s="1185"/>
      <c r="C17" s="1185"/>
      <c r="D17" s="1185"/>
      <c r="E17" s="753"/>
      <c r="F17" s="753"/>
      <c r="G17" s="209" t="s">
        <v>172</v>
      </c>
      <c r="H17" s="1493">
        <f>I15/H16</f>
        <v>0</v>
      </c>
      <c r="I17" s="1328"/>
    </row>
    <row r="18" spans="1:9" x14ac:dyDescent="0.25">
      <c r="A18" s="140"/>
      <c r="B18" s="140"/>
      <c r="C18" s="140"/>
      <c r="D18" s="140"/>
      <c r="E18" s="140"/>
      <c r="F18" s="140"/>
      <c r="G18" s="140"/>
      <c r="H18" s="140"/>
      <c r="I18" s="140"/>
    </row>
    <row r="19" spans="1:9" x14ac:dyDescent="0.25">
      <c r="A19" s="497"/>
      <c r="B19" s="1488" t="s">
        <v>652</v>
      </c>
      <c r="C19" s="1476"/>
      <c r="D19" s="1476"/>
      <c r="E19" s="1476"/>
      <c r="F19" s="1476"/>
      <c r="G19" s="1476"/>
      <c r="H19" s="1476"/>
      <c r="I19" s="1476"/>
    </row>
    <row r="20" spans="1:9" ht="60" x14ac:dyDescent="0.25">
      <c r="A20" s="1244" t="s">
        <v>266</v>
      </c>
      <c r="B20" s="1304"/>
      <c r="C20" s="1244" t="s">
        <v>267</v>
      </c>
      <c r="D20" s="1304"/>
      <c r="E20" s="1244" t="s">
        <v>653</v>
      </c>
      <c r="F20" s="1304"/>
      <c r="G20" s="220" t="s">
        <v>269</v>
      </c>
      <c r="H20" s="221" t="s">
        <v>654</v>
      </c>
      <c r="I20" s="220" t="s">
        <v>655</v>
      </c>
    </row>
    <row r="21" spans="1:9" x14ac:dyDescent="0.25">
      <c r="A21" s="1244">
        <v>1</v>
      </c>
      <c r="B21" s="1302"/>
      <c r="C21" s="1244">
        <v>2</v>
      </c>
      <c r="D21" s="1304"/>
      <c r="E21" s="1244">
        <v>3</v>
      </c>
      <c r="F21" s="1304"/>
      <c r="G21" s="221">
        <v>4</v>
      </c>
      <c r="H21" s="221">
        <v>5</v>
      </c>
      <c r="I21" s="220">
        <v>6</v>
      </c>
    </row>
    <row r="22" spans="1:9" ht="33.6" customHeight="1" x14ac:dyDescent="0.25">
      <c r="A22" s="1283" t="s">
        <v>272</v>
      </c>
      <c r="B22" s="1305"/>
      <c r="C22" s="1299">
        <f>прибирання!C49</f>
        <v>2502571.37</v>
      </c>
      <c r="D22" s="1269"/>
      <c r="E22" s="1273">
        <f>прибирання!D49</f>
        <v>5976607.4800000004</v>
      </c>
      <c r="F22" s="1273"/>
      <c r="G22" s="450">
        <f>C22/E22*100</f>
        <v>41.872774452305173</v>
      </c>
      <c r="H22" s="466">
        <f>I10</f>
        <v>0</v>
      </c>
      <c r="I22" s="232">
        <f>G22*H22/100</f>
        <v>0</v>
      </c>
    </row>
    <row r="23" spans="1:9" ht="33" customHeight="1" x14ac:dyDescent="0.25">
      <c r="A23" s="1283" t="s">
        <v>273</v>
      </c>
      <c r="B23" s="1305"/>
      <c r="C23" s="1299">
        <f>прибирання!C50</f>
        <v>4320090.5999999996</v>
      </c>
      <c r="D23" s="1269"/>
      <c r="E23" s="1273">
        <f>прибирання!D50</f>
        <v>24679377</v>
      </c>
      <c r="F23" s="1273"/>
      <c r="G23" s="450">
        <f>C23/E23*100</f>
        <v>17.504860839882628</v>
      </c>
      <c r="H23" s="466">
        <f>I10+I11+I13+I14+I22</f>
        <v>0</v>
      </c>
      <c r="I23" s="232">
        <f>G23*H23/100</f>
        <v>0</v>
      </c>
    </row>
    <row r="24" spans="1:9" ht="24.6" customHeight="1" x14ac:dyDescent="0.25">
      <c r="A24" s="1311" t="s">
        <v>274</v>
      </c>
      <c r="B24" s="1312"/>
      <c r="C24" s="1301"/>
      <c r="D24" s="1277"/>
      <c r="E24" s="1279"/>
      <c r="F24" s="1279"/>
      <c r="G24" s="451"/>
      <c r="H24" s="467"/>
      <c r="I24" s="394">
        <f>SUM(I22:I23)</f>
        <v>0</v>
      </c>
    </row>
    <row r="25" spans="1:9" x14ac:dyDescent="0.25">
      <c r="A25" s="140"/>
      <c r="B25" s="140"/>
      <c r="C25" s="140"/>
      <c r="D25" s="140"/>
      <c r="E25" s="140"/>
      <c r="F25" s="140"/>
      <c r="G25" s="140"/>
      <c r="H25" s="140"/>
      <c r="I25" s="140"/>
    </row>
    <row r="26" spans="1:9" x14ac:dyDescent="0.25">
      <c r="A26" s="1494" t="s">
        <v>656</v>
      </c>
      <c r="B26" s="1494"/>
      <c r="C26" s="1494"/>
      <c r="D26" s="1494"/>
      <c r="E26" s="1494"/>
      <c r="F26" s="1494"/>
      <c r="G26" s="1494"/>
      <c r="H26" s="799"/>
      <c r="I26" s="799"/>
    </row>
    <row r="27" spans="1:9" x14ac:dyDescent="0.25">
      <c r="A27" s="498"/>
      <c r="B27" s="498"/>
      <c r="C27" s="498"/>
      <c r="D27" s="498"/>
      <c r="E27" s="498"/>
      <c r="F27" s="498"/>
      <c r="G27" s="498"/>
      <c r="H27" s="461"/>
      <c r="I27" s="461"/>
    </row>
    <row r="28" spans="1:9" ht="38.25" x14ac:dyDescent="0.25">
      <c r="A28" s="173" t="s">
        <v>206</v>
      </c>
      <c r="B28" s="1380" t="s">
        <v>657</v>
      </c>
      <c r="C28" s="1436"/>
      <c r="D28" s="1437"/>
      <c r="E28" s="173" t="s">
        <v>208</v>
      </c>
      <c r="F28" s="173" t="s">
        <v>658</v>
      </c>
      <c r="G28" s="465" t="s">
        <v>659</v>
      </c>
      <c r="H28" s="499"/>
      <c r="I28" s="500"/>
    </row>
    <row r="29" spans="1:9" x14ac:dyDescent="0.25">
      <c r="A29" s="501">
        <v>1</v>
      </c>
      <c r="B29" s="1495">
        <v>2</v>
      </c>
      <c r="C29" s="1419"/>
      <c r="D29" s="1419"/>
      <c r="E29" s="501">
        <v>3</v>
      </c>
      <c r="F29" s="501">
        <v>4</v>
      </c>
      <c r="G29" s="502">
        <v>5</v>
      </c>
      <c r="H29" s="503"/>
      <c r="I29" s="504"/>
    </row>
    <row r="30" spans="1:9" x14ac:dyDescent="0.25">
      <c r="A30" s="501">
        <v>1</v>
      </c>
      <c r="B30" s="1507" t="s">
        <v>938</v>
      </c>
      <c r="C30" s="1436"/>
      <c r="D30" s="1437"/>
      <c r="E30" s="505" t="s">
        <v>172</v>
      </c>
      <c r="F30" s="506"/>
      <c r="G30" s="507"/>
      <c r="H30" s="508"/>
      <c r="I30" s="509"/>
    </row>
    <row r="31" spans="1:9" x14ac:dyDescent="0.25">
      <c r="A31" s="501">
        <v>2</v>
      </c>
      <c r="B31" s="1496"/>
      <c r="C31" s="1454"/>
      <c r="D31" s="1455"/>
      <c r="E31" s="510" t="s">
        <v>172</v>
      </c>
      <c r="F31" s="506"/>
      <c r="G31" s="507"/>
      <c r="H31" s="511"/>
      <c r="I31" s="512"/>
    </row>
    <row r="32" spans="1:9" x14ac:dyDescent="0.25">
      <c r="A32" s="513">
        <v>3</v>
      </c>
      <c r="B32" s="1497"/>
      <c r="C32" s="1481"/>
      <c r="D32" s="1482"/>
      <c r="E32" s="510" t="s">
        <v>172</v>
      </c>
      <c r="F32" s="506"/>
      <c r="G32" s="507"/>
      <c r="H32" s="511"/>
      <c r="I32" s="512"/>
    </row>
    <row r="33" spans="1:9" x14ac:dyDescent="0.25">
      <c r="A33" s="514"/>
      <c r="B33" s="1498" t="s">
        <v>212</v>
      </c>
      <c r="C33" s="1454"/>
      <c r="D33" s="1455"/>
      <c r="E33" s="515"/>
      <c r="F33" s="516">
        <f>SUM(F30:F32)</f>
        <v>0</v>
      </c>
      <c r="G33" s="516">
        <f>SUM(G30:G32)</f>
        <v>0</v>
      </c>
      <c r="H33" s="517"/>
      <c r="I33" s="518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6" t="str">
        <f>прибирання!A1</f>
        <v xml:space="preserve">   м. Канів     Шевченка      47</v>
      </c>
      <c r="G1" s="1189" t="s">
        <v>204</v>
      </c>
      <c r="H1" s="1189"/>
      <c r="I1" s="1189"/>
      <c r="J1" s="1189"/>
    </row>
    <row r="2" spans="1:10" x14ac:dyDescent="0.25">
      <c r="G2" s="1189" t="s">
        <v>99</v>
      </c>
      <c r="H2" s="1189"/>
      <c r="I2" s="1189"/>
      <c r="J2" s="1189"/>
    </row>
    <row r="3" spans="1:10" x14ac:dyDescent="0.25">
      <c r="G3" s="1193" t="s">
        <v>619</v>
      </c>
      <c r="H3" s="1193"/>
      <c r="I3" s="1193"/>
      <c r="J3" s="1193"/>
    </row>
    <row r="4" spans="1:10" x14ac:dyDescent="0.25">
      <c r="G4" s="241"/>
      <c r="H4" s="242"/>
      <c r="I4" s="1190" t="s">
        <v>283</v>
      </c>
      <c r="J4" s="1190"/>
    </row>
    <row r="6" spans="1:10" x14ac:dyDescent="0.25">
      <c r="A6" s="1191" t="s">
        <v>287</v>
      </c>
      <c r="B6" s="1191"/>
      <c r="C6" s="1191"/>
      <c r="D6" s="1191"/>
      <c r="E6" s="1191"/>
      <c r="F6" s="1191"/>
      <c r="G6" s="1191"/>
      <c r="H6" s="1191"/>
      <c r="I6" s="1191"/>
      <c r="J6" s="1191"/>
    </row>
    <row r="7" spans="1:10" x14ac:dyDescent="0.25">
      <c r="A7" s="1543" t="s">
        <v>677</v>
      </c>
      <c r="B7" s="1600"/>
      <c r="C7" s="1600"/>
      <c r="D7" s="1600"/>
      <c r="E7" s="1600"/>
      <c r="F7" s="1600"/>
      <c r="G7" s="1600"/>
      <c r="H7" s="1600"/>
      <c r="I7" s="1600"/>
      <c r="J7" s="1600"/>
    </row>
    <row r="8" spans="1:10" x14ac:dyDescent="0.25">
      <c r="A8" s="548"/>
      <c r="B8" s="549"/>
      <c r="C8" s="549"/>
      <c r="D8" s="549"/>
      <c r="E8" s="549"/>
      <c r="F8" s="549"/>
      <c r="G8" s="549"/>
      <c r="H8" s="549"/>
      <c r="I8" s="549"/>
      <c r="J8" s="549"/>
    </row>
    <row r="9" spans="1:10" x14ac:dyDescent="0.25">
      <c r="A9" s="233" t="s">
        <v>678</v>
      </c>
    </row>
    <row r="10" spans="1:10" ht="25.5" x14ac:dyDescent="0.25">
      <c r="A10" s="173" t="s">
        <v>220</v>
      </c>
      <c r="B10" s="1184" t="s">
        <v>207</v>
      </c>
      <c r="C10" s="1509"/>
      <c r="D10" s="1509"/>
      <c r="E10" s="1509"/>
      <c r="F10" s="173" t="s">
        <v>208</v>
      </c>
      <c r="G10" s="1184" t="s">
        <v>209</v>
      </c>
      <c r="H10" s="1509"/>
      <c r="I10" s="1184" t="s">
        <v>487</v>
      </c>
      <c r="J10" s="1563"/>
    </row>
    <row r="11" spans="1:10" ht="18.600000000000001" customHeight="1" x14ac:dyDescent="0.25">
      <c r="A11" s="173">
        <v>1</v>
      </c>
      <c r="B11" s="1194" t="s">
        <v>679</v>
      </c>
      <c r="C11" s="788"/>
      <c r="D11" s="788"/>
      <c r="E11" s="788"/>
      <c r="F11" s="250" t="s">
        <v>172</v>
      </c>
      <c r="G11" s="1196">
        <f>I11*12</f>
        <v>0</v>
      </c>
      <c r="H11" s="1560"/>
      <c r="I11" s="1196">
        <f>I68</f>
        <v>0</v>
      </c>
      <c r="J11" s="1561"/>
    </row>
    <row r="12" spans="1:10" ht="38.450000000000003" customHeight="1" x14ac:dyDescent="0.25">
      <c r="A12" s="173">
        <v>2</v>
      </c>
      <c r="B12" s="1199" t="s">
        <v>290</v>
      </c>
      <c r="C12" s="1559"/>
      <c r="D12" s="1559"/>
      <c r="E12" s="1559"/>
      <c r="F12" s="250" t="s">
        <v>172</v>
      </c>
      <c r="G12" s="1196">
        <f>I12*12</f>
        <v>0</v>
      </c>
      <c r="H12" s="1560"/>
      <c r="I12" s="1196">
        <f>I11*розрахунок!D40/100</f>
        <v>0</v>
      </c>
      <c r="J12" s="1561"/>
    </row>
    <row r="13" spans="1:10" x14ac:dyDescent="0.25">
      <c r="A13" s="173">
        <v>3</v>
      </c>
      <c r="B13" s="1194" t="s">
        <v>486</v>
      </c>
      <c r="C13" s="1562"/>
      <c r="D13" s="1562"/>
      <c r="E13" s="1562"/>
      <c r="F13" s="250" t="s">
        <v>172</v>
      </c>
      <c r="G13" s="1196">
        <f>I13*12</f>
        <v>0</v>
      </c>
      <c r="H13" s="1560"/>
      <c r="I13" s="1196">
        <f>I75</f>
        <v>0</v>
      </c>
      <c r="J13" s="1561"/>
    </row>
    <row r="14" spans="1:10" x14ac:dyDescent="0.25">
      <c r="A14" s="173">
        <v>4</v>
      </c>
      <c r="B14" s="1194" t="s">
        <v>622</v>
      </c>
      <c r="C14" s="1562"/>
      <c r="D14" s="1562"/>
      <c r="E14" s="1562"/>
      <c r="F14" s="250" t="s">
        <v>172</v>
      </c>
      <c r="G14" s="1196">
        <f>I14*12</f>
        <v>0</v>
      </c>
      <c r="H14" s="1560"/>
      <c r="I14" s="1196">
        <f>інвентар!I9</f>
        <v>0</v>
      </c>
      <c r="J14" s="1561"/>
    </row>
    <row r="15" spans="1:10" x14ac:dyDescent="0.25">
      <c r="A15" s="173">
        <v>5</v>
      </c>
      <c r="B15" s="1194" t="s">
        <v>474</v>
      </c>
      <c r="C15" s="1562"/>
      <c r="D15" s="1562"/>
      <c r="E15" s="1562"/>
      <c r="F15" s="250" t="s">
        <v>172</v>
      </c>
      <c r="G15" s="1196">
        <f>I15*12</f>
        <v>0</v>
      </c>
      <c r="H15" s="1560"/>
      <c r="I15" s="1201">
        <v>0</v>
      </c>
      <c r="J15" s="1565"/>
    </row>
    <row r="16" spans="1:10" x14ac:dyDescent="0.25">
      <c r="A16" s="173">
        <v>6</v>
      </c>
      <c r="B16" s="1533" t="s">
        <v>649</v>
      </c>
      <c r="C16" s="1534"/>
      <c r="D16" s="1534"/>
      <c r="E16" s="1534"/>
      <c r="F16" s="173" t="s">
        <v>172</v>
      </c>
      <c r="G16" s="1205">
        <f>SUM(G11:G15)</f>
        <v>0</v>
      </c>
      <c r="H16" s="1206"/>
      <c r="I16" s="1210">
        <f>SUM(I11:I15)</f>
        <v>0</v>
      </c>
      <c r="J16" s="1564"/>
    </row>
    <row r="17" spans="1:10" ht="19.899999999999999" customHeight="1" x14ac:dyDescent="0.25">
      <c r="A17" s="173">
        <v>7</v>
      </c>
      <c r="B17" s="1576" t="s">
        <v>114</v>
      </c>
      <c r="C17" s="1577"/>
      <c r="D17" s="1577"/>
      <c r="E17" s="1578"/>
      <c r="F17" s="173" t="s">
        <v>213</v>
      </c>
      <c r="G17" s="1210">
        <f>[1]Расчет!D3</f>
        <v>2997.38</v>
      </c>
      <c r="H17" s="1569"/>
      <c r="I17" s="1570"/>
      <c r="J17" s="1571"/>
    </row>
    <row r="18" spans="1:10" x14ac:dyDescent="0.25">
      <c r="A18" s="520">
        <v>8</v>
      </c>
      <c r="B18" s="1203" t="s">
        <v>484</v>
      </c>
      <c r="C18" s="1185"/>
      <c r="D18" s="1185"/>
      <c r="E18" s="1185"/>
      <c r="F18" s="520" t="s">
        <v>172</v>
      </c>
      <c r="G18" s="1572">
        <f>I16/G17</f>
        <v>0</v>
      </c>
      <c r="H18" s="1573"/>
      <c r="I18" s="1574"/>
      <c r="J18" s="1575"/>
    </row>
    <row r="19" spans="1:10" x14ac:dyDescent="0.25">
      <c r="A19" s="521"/>
      <c r="B19" s="522"/>
      <c r="C19" s="133"/>
      <c r="D19" s="133"/>
      <c r="E19" s="133"/>
      <c r="F19" s="521"/>
      <c r="G19" s="523"/>
      <c r="H19" s="523"/>
      <c r="I19" s="524"/>
      <c r="J19" s="524"/>
    </row>
    <row r="20" spans="1:10" x14ac:dyDescent="0.25">
      <c r="A20" s="1566" t="s">
        <v>663</v>
      </c>
      <c r="B20" s="1567"/>
      <c r="C20" s="1567"/>
      <c r="D20" s="1567"/>
      <c r="E20" s="1567"/>
      <c r="F20" s="1567"/>
      <c r="G20" s="1567"/>
      <c r="H20" s="1567"/>
      <c r="I20" s="1567"/>
      <c r="J20" s="1567"/>
    </row>
    <row r="21" spans="1:10" ht="55.15" customHeight="1" x14ac:dyDescent="0.25">
      <c r="A21" s="1218" t="s">
        <v>664</v>
      </c>
      <c r="B21" s="1568"/>
      <c r="C21" s="1568"/>
      <c r="D21" s="1568"/>
      <c r="E21" s="1568"/>
      <c r="F21" s="1568"/>
      <c r="G21" s="1568"/>
      <c r="H21" s="1568"/>
      <c r="I21" s="1568"/>
      <c r="J21" s="1568"/>
    </row>
    <row r="22" spans="1:10" ht="33.6" customHeight="1" x14ac:dyDescent="0.25">
      <c r="A22" s="1218" t="s">
        <v>490</v>
      </c>
      <c r="B22" s="1219"/>
      <c r="C22" s="1219"/>
      <c r="D22" s="1219"/>
      <c r="E22" s="1219"/>
      <c r="F22" s="1219"/>
      <c r="G22" s="1219"/>
      <c r="H22" s="1219"/>
      <c r="I22" s="1219"/>
      <c r="J22" s="1219"/>
    </row>
    <row r="23" spans="1:10" x14ac:dyDescent="0.25">
      <c r="A23" s="1234" t="s">
        <v>727</v>
      </c>
      <c r="B23" s="1235"/>
      <c r="C23" s="1235"/>
      <c r="D23" s="1235"/>
      <c r="E23" s="1236" t="s">
        <v>216</v>
      </c>
      <c r="F23" s="1236"/>
      <c r="G23" s="178">
        <f>розрахунок!D44</f>
        <v>247</v>
      </c>
      <c r="H23" s="1236" t="s">
        <v>217</v>
      </c>
      <c r="I23" s="1236"/>
      <c r="J23" s="178">
        <f>розрахунок!D46</f>
        <v>1987</v>
      </c>
    </row>
    <row r="24" spans="1:10" x14ac:dyDescent="0.25">
      <c r="A24" s="398"/>
      <c r="B24" s="462"/>
      <c r="C24" s="462"/>
      <c r="D24" s="462"/>
      <c r="E24" s="462"/>
      <c r="F24" s="462"/>
      <c r="G24" s="462"/>
      <c r="H24" s="462"/>
      <c r="I24" s="462"/>
      <c r="J24" s="462"/>
    </row>
    <row r="25" spans="1:10" x14ac:dyDescent="0.25">
      <c r="A25" s="526" t="s">
        <v>218</v>
      </c>
      <c r="B25" s="1529" t="s">
        <v>219</v>
      </c>
      <c r="C25" s="1529"/>
      <c r="D25" s="1529"/>
      <c r="E25" s="1529"/>
      <c r="F25" s="1529"/>
      <c r="G25" s="181"/>
      <c r="H25" s="181"/>
      <c r="I25" s="181"/>
      <c r="J25" s="181"/>
    </row>
    <row r="26" spans="1:10" ht="123.75" x14ac:dyDescent="0.25">
      <c r="A26" s="182" t="s">
        <v>220</v>
      </c>
      <c r="B26" s="1238" t="s">
        <v>221</v>
      </c>
      <c r="C26" s="1239"/>
      <c r="D26" s="183" t="s">
        <v>665</v>
      </c>
      <c r="E26" s="184" t="s">
        <v>223</v>
      </c>
      <c r="F26" s="1240" t="s">
        <v>666</v>
      </c>
      <c r="G26" s="1239"/>
      <c r="H26" s="185" t="s">
        <v>667</v>
      </c>
      <c r="I26" s="186" t="s">
        <v>226</v>
      </c>
      <c r="J26" s="186" t="s">
        <v>227</v>
      </c>
    </row>
    <row r="27" spans="1:10" x14ac:dyDescent="0.25">
      <c r="A27" s="220">
        <v>1</v>
      </c>
      <c r="B27" s="1583">
        <v>2</v>
      </c>
      <c r="C27" s="1243"/>
      <c r="D27" s="222">
        <v>3</v>
      </c>
      <c r="E27" s="222">
        <v>4</v>
      </c>
      <c r="F27" s="1584">
        <v>5</v>
      </c>
      <c r="G27" s="849"/>
      <c r="H27" s="222">
        <v>6</v>
      </c>
      <c r="I27" s="222">
        <v>7</v>
      </c>
      <c r="J27" s="527">
        <v>8</v>
      </c>
    </row>
    <row r="28" spans="1:10" ht="36.6" customHeight="1" x14ac:dyDescent="0.25">
      <c r="A28" s="528">
        <v>1</v>
      </c>
      <c r="B28" s="1250" t="s">
        <v>389</v>
      </c>
      <c r="C28" s="1523"/>
      <c r="D28" s="529"/>
      <c r="E28" s="191">
        <f>G23</f>
        <v>247</v>
      </c>
      <c r="F28" s="1580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59"/>
      <c r="H28" s="190">
        <f>(D28/100)*F28*E28</f>
        <v>0</v>
      </c>
      <c r="I28" s="192">
        <v>58</v>
      </c>
      <c r="J28" s="530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2" t="s">
        <v>93</v>
      </c>
      <c r="B29" s="1250" t="s">
        <v>668</v>
      </c>
      <c r="C29" s="1579"/>
      <c r="D29" s="529"/>
      <c r="E29" s="191">
        <v>156</v>
      </c>
      <c r="F29" s="1580">
        <f>IF([1]Таблица_Характеристика!$N$31&lt;=0.2,0.41,0.55)</f>
        <v>0.41</v>
      </c>
      <c r="G29" s="1581"/>
      <c r="H29" s="190">
        <f>(D29/100)*F29*E29</f>
        <v>0</v>
      </c>
      <c r="I29" s="192">
        <v>59</v>
      </c>
      <c r="J29" s="530" t="str">
        <f>IF([1]Таблица_Характеристика!$N$31&lt;=0.2,"1-59-1","1-59-2")</f>
        <v>1-59-1</v>
      </c>
    </row>
    <row r="30" spans="1:10" ht="15" customHeight="1" x14ac:dyDescent="0.25">
      <c r="A30" s="202" t="s">
        <v>230</v>
      </c>
      <c r="B30" s="1524" t="s">
        <v>393</v>
      </c>
      <c r="C30" s="1601"/>
      <c r="D30" s="1601"/>
      <c r="E30" s="1601"/>
      <c r="F30" s="1601"/>
      <c r="G30" s="1602"/>
      <c r="H30" s="1582"/>
      <c r="I30" s="1265"/>
      <c r="J30" s="530"/>
    </row>
    <row r="31" spans="1:10" ht="27.6" customHeight="1" x14ac:dyDescent="0.25">
      <c r="A31" s="528"/>
      <c r="B31" s="1250" t="s">
        <v>394</v>
      </c>
      <c r="C31" s="1523"/>
      <c r="D31" s="529"/>
      <c r="E31" s="191">
        <v>2</v>
      </c>
      <c r="F31" s="1580">
        <v>2.66</v>
      </c>
      <c r="G31" s="1328"/>
      <c r="H31" s="190">
        <f>D31/100*F31*E31</f>
        <v>0</v>
      </c>
      <c r="I31" s="192">
        <v>60</v>
      </c>
      <c r="J31" s="530" t="s">
        <v>395</v>
      </c>
    </row>
    <row r="32" spans="1:10" ht="26.45" customHeight="1" x14ac:dyDescent="0.25">
      <c r="A32" s="528"/>
      <c r="B32" s="1250" t="s">
        <v>396</v>
      </c>
      <c r="C32" s="1523"/>
      <c r="D32" s="529"/>
      <c r="E32" s="191">
        <v>2</v>
      </c>
      <c r="F32" s="1580">
        <v>3.21</v>
      </c>
      <c r="G32" s="1328"/>
      <c r="H32" s="190">
        <f t="shared" ref="H32:H37" si="0">D32/100*F32*E32</f>
        <v>0</v>
      </c>
      <c r="I32" s="192">
        <v>60</v>
      </c>
      <c r="J32" s="530" t="s">
        <v>397</v>
      </c>
    </row>
    <row r="33" spans="1:10" ht="31.9" customHeight="1" x14ac:dyDescent="0.25">
      <c r="A33" s="528"/>
      <c r="B33" s="1250" t="s">
        <v>398</v>
      </c>
      <c r="C33" s="1523"/>
      <c r="D33" s="529"/>
      <c r="E33" s="191">
        <v>2</v>
      </c>
      <c r="F33" s="1580">
        <v>3.32</v>
      </c>
      <c r="G33" s="1328"/>
      <c r="H33" s="190">
        <f t="shared" si="0"/>
        <v>0</v>
      </c>
      <c r="I33" s="192">
        <v>60</v>
      </c>
      <c r="J33" s="530" t="s">
        <v>399</v>
      </c>
    </row>
    <row r="34" spans="1:10" ht="15" customHeight="1" x14ac:dyDescent="0.25">
      <c r="A34" s="528"/>
      <c r="B34" s="1250" t="s">
        <v>400</v>
      </c>
      <c r="C34" s="1523"/>
      <c r="D34" s="529"/>
      <c r="E34" s="191">
        <v>2</v>
      </c>
      <c r="F34" s="1580">
        <v>4.42</v>
      </c>
      <c r="G34" s="1328"/>
      <c r="H34" s="190">
        <f t="shared" si="0"/>
        <v>0</v>
      </c>
      <c r="I34" s="192">
        <v>60</v>
      </c>
      <c r="J34" s="530" t="s">
        <v>401</v>
      </c>
    </row>
    <row r="35" spans="1:10" ht="29.45" customHeight="1" x14ac:dyDescent="0.25">
      <c r="A35" s="528"/>
      <c r="B35" s="1250" t="s">
        <v>402</v>
      </c>
      <c r="C35" s="1523"/>
      <c r="D35" s="529">
        <f>[1]Таблица_Характеристика!L37*[1]Таблица_Характеристика!H37</f>
        <v>0</v>
      </c>
      <c r="E35" s="191">
        <v>2</v>
      </c>
      <c r="F35" s="1580">
        <v>2.4300000000000002</v>
      </c>
      <c r="G35" s="1328"/>
      <c r="H35" s="190">
        <f t="shared" si="0"/>
        <v>0</v>
      </c>
      <c r="I35" s="192">
        <v>60</v>
      </c>
      <c r="J35" s="530" t="s">
        <v>403</v>
      </c>
    </row>
    <row r="36" spans="1:10" ht="35.450000000000003" customHeight="1" x14ac:dyDescent="0.25">
      <c r="A36" s="528"/>
      <c r="B36" s="1250" t="s">
        <v>404</v>
      </c>
      <c r="C36" s="1523"/>
      <c r="D36" s="529">
        <f>[1]Таблица_Характеристика!L38*[1]Таблица_Характеристика!H38</f>
        <v>0</v>
      </c>
      <c r="E36" s="191">
        <v>2</v>
      </c>
      <c r="F36" s="1580">
        <v>3.16</v>
      </c>
      <c r="G36" s="1328"/>
      <c r="H36" s="190">
        <f t="shared" si="0"/>
        <v>0</v>
      </c>
      <c r="I36" s="192">
        <v>60</v>
      </c>
      <c r="J36" s="530" t="s">
        <v>405</v>
      </c>
    </row>
    <row r="37" spans="1:10" ht="39" customHeight="1" x14ac:dyDescent="0.25">
      <c r="A37" s="528"/>
      <c r="B37" s="1250" t="s">
        <v>406</v>
      </c>
      <c r="C37" s="1523"/>
      <c r="D37" s="529">
        <f>[1]Таблица_Характеристика!L39*[1]Таблица_Характеристика!H39</f>
        <v>0</v>
      </c>
      <c r="E37" s="191">
        <v>2</v>
      </c>
      <c r="F37" s="1580">
        <v>3.67</v>
      </c>
      <c r="G37" s="1328"/>
      <c r="H37" s="190">
        <f t="shared" si="0"/>
        <v>0</v>
      </c>
      <c r="I37" s="192">
        <v>60</v>
      </c>
      <c r="J37" s="530" t="s">
        <v>407</v>
      </c>
    </row>
    <row r="38" spans="1:10" ht="33.6" customHeight="1" x14ac:dyDescent="0.25">
      <c r="A38" s="202" t="s">
        <v>234</v>
      </c>
      <c r="B38" s="1220" t="s">
        <v>408</v>
      </c>
      <c r="C38" s="1585"/>
      <c r="D38" s="529"/>
      <c r="E38" s="191"/>
      <c r="F38" s="1580"/>
      <c r="G38" s="1328"/>
      <c r="H38" s="1582"/>
      <c r="I38" s="1265"/>
      <c r="J38" s="530"/>
    </row>
    <row r="39" spans="1:10" ht="35.450000000000003" customHeight="1" x14ac:dyDescent="0.25">
      <c r="A39" s="528"/>
      <c r="B39" s="1250" t="s">
        <v>394</v>
      </c>
      <c r="C39" s="1523"/>
      <c r="D39" s="529"/>
      <c r="E39" s="191">
        <v>2</v>
      </c>
      <c r="F39" s="1580">
        <v>3.48</v>
      </c>
      <c r="G39" s="1328"/>
      <c r="H39" s="190">
        <f>D39/100*F39*E39</f>
        <v>0</v>
      </c>
      <c r="I39" s="192">
        <v>61</v>
      </c>
      <c r="J39" s="530" t="s">
        <v>409</v>
      </c>
    </row>
    <row r="40" spans="1:10" ht="36.6" customHeight="1" x14ac:dyDescent="0.25">
      <c r="A40" s="528"/>
      <c r="B40" s="1250" t="s">
        <v>396</v>
      </c>
      <c r="C40" s="1523"/>
      <c r="D40" s="529">
        <f>[1]Таблица_Характеристика!M34*[1]Таблица_Характеристика!H34</f>
        <v>0</v>
      </c>
      <c r="E40" s="191">
        <v>2</v>
      </c>
      <c r="F40" s="1580">
        <v>4.05</v>
      </c>
      <c r="G40" s="1328"/>
      <c r="H40" s="190">
        <f t="shared" ref="H40:H45" si="1">D40/100*F40*E40</f>
        <v>0</v>
      </c>
      <c r="I40" s="192">
        <v>61</v>
      </c>
      <c r="J40" s="530" t="s">
        <v>410</v>
      </c>
    </row>
    <row r="41" spans="1:10" ht="28.9" customHeight="1" x14ac:dyDescent="0.25">
      <c r="A41" s="528"/>
      <c r="B41" s="1250" t="s">
        <v>398</v>
      </c>
      <c r="C41" s="1523"/>
      <c r="D41" s="529">
        <f>[1]Таблица_Характеристика!M35*[1]Таблица_Характеристика!H35</f>
        <v>0</v>
      </c>
      <c r="E41" s="191">
        <v>2</v>
      </c>
      <c r="F41" s="1580">
        <v>4.93</v>
      </c>
      <c r="G41" s="1328"/>
      <c r="H41" s="190">
        <f t="shared" si="1"/>
        <v>0</v>
      </c>
      <c r="I41" s="192">
        <v>61</v>
      </c>
      <c r="J41" s="530" t="s">
        <v>411</v>
      </c>
    </row>
    <row r="42" spans="1:10" ht="26.45" customHeight="1" x14ac:dyDescent="0.25">
      <c r="A42" s="528"/>
      <c r="B42" s="1250" t="s">
        <v>400</v>
      </c>
      <c r="C42" s="1523"/>
      <c r="D42" s="529">
        <f>[1]Таблица_Характеристика!M36*[1]Таблица_Характеристика!H36</f>
        <v>0</v>
      </c>
      <c r="E42" s="191">
        <v>2</v>
      </c>
      <c r="F42" s="1580">
        <v>5.81</v>
      </c>
      <c r="G42" s="1328"/>
      <c r="H42" s="190">
        <f t="shared" si="1"/>
        <v>0</v>
      </c>
      <c r="I42" s="192">
        <v>61</v>
      </c>
      <c r="J42" s="530" t="s">
        <v>412</v>
      </c>
    </row>
    <row r="43" spans="1:10" ht="31.15" customHeight="1" x14ac:dyDescent="0.25">
      <c r="A43" s="528"/>
      <c r="B43" s="1250" t="s">
        <v>402</v>
      </c>
      <c r="C43" s="1523"/>
      <c r="D43" s="529">
        <f>[1]Таблица_Характеристика!M37*[1]Таблица_Характеристика!H37</f>
        <v>0</v>
      </c>
      <c r="E43" s="191">
        <v>2</v>
      </c>
      <c r="F43" s="1580">
        <v>3.29</v>
      </c>
      <c r="G43" s="1328"/>
      <c r="H43" s="190">
        <f t="shared" si="1"/>
        <v>0</v>
      </c>
      <c r="I43" s="192">
        <v>61</v>
      </c>
      <c r="J43" s="530" t="s">
        <v>413</v>
      </c>
    </row>
    <row r="44" spans="1:10" ht="26.45" customHeight="1" x14ac:dyDescent="0.25">
      <c r="A44" s="528"/>
      <c r="B44" s="1250" t="s">
        <v>404</v>
      </c>
      <c r="C44" s="1523"/>
      <c r="D44" s="529">
        <f>[1]Таблица_Характеристика!M38*[1]Таблица_Характеристика!H38</f>
        <v>0</v>
      </c>
      <c r="E44" s="191">
        <v>2</v>
      </c>
      <c r="F44" s="1580">
        <v>4.01</v>
      </c>
      <c r="G44" s="1328"/>
      <c r="H44" s="190">
        <f t="shared" si="1"/>
        <v>0</v>
      </c>
      <c r="I44" s="192">
        <v>61</v>
      </c>
      <c r="J44" s="530" t="s">
        <v>414</v>
      </c>
    </row>
    <row r="45" spans="1:10" ht="34.15" customHeight="1" x14ac:dyDescent="0.25">
      <c r="A45" s="528"/>
      <c r="B45" s="1250" t="s">
        <v>406</v>
      </c>
      <c r="C45" s="1523"/>
      <c r="D45" s="529">
        <f>[1]Таблица_Характеристика!M39*[1]Таблица_Характеристика!H39</f>
        <v>0</v>
      </c>
      <c r="E45" s="191">
        <v>2</v>
      </c>
      <c r="F45" s="1580">
        <v>4.7</v>
      </c>
      <c r="G45" s="1328"/>
      <c r="H45" s="190">
        <f t="shared" si="1"/>
        <v>0</v>
      </c>
      <c r="I45" s="192">
        <v>61</v>
      </c>
      <c r="J45" s="530" t="s">
        <v>415</v>
      </c>
    </row>
    <row r="46" spans="1:10" ht="43.9" customHeight="1" x14ac:dyDescent="0.25">
      <c r="A46" s="202" t="s">
        <v>235</v>
      </c>
      <c r="B46" s="1524" t="s">
        <v>416</v>
      </c>
      <c r="C46" s="1588"/>
      <c r="D46" s="531">
        <f>[1]Таблица_Характеристика!C41</f>
        <v>0</v>
      </c>
      <c r="E46" s="532">
        <v>24</v>
      </c>
      <c r="F46" s="1586">
        <v>0.92</v>
      </c>
      <c r="G46" s="1589"/>
      <c r="H46" s="194">
        <f>D46/100*F46*E46</f>
        <v>0</v>
      </c>
      <c r="I46" s="195">
        <v>62</v>
      </c>
      <c r="J46" s="533" t="s">
        <v>417</v>
      </c>
    </row>
    <row r="47" spans="1:10" x14ac:dyDescent="0.25">
      <c r="A47" s="202" t="s">
        <v>250</v>
      </c>
      <c r="B47" s="1220" t="s">
        <v>418</v>
      </c>
      <c r="C47" s="1585"/>
      <c r="D47" s="531"/>
      <c r="E47" s="532"/>
      <c r="F47" s="1586"/>
      <c r="G47" s="1587"/>
      <c r="H47" s="194"/>
      <c r="I47" s="195" t="s">
        <v>669</v>
      </c>
      <c r="J47" s="533"/>
    </row>
    <row r="48" spans="1:10" x14ac:dyDescent="0.25">
      <c r="A48" s="528" t="s">
        <v>230</v>
      </c>
      <c r="B48" s="1250" t="s">
        <v>419</v>
      </c>
      <c r="C48" s="1523"/>
      <c r="D48" s="529">
        <f>[1]Таблица_Характеристика!G41</f>
        <v>0</v>
      </c>
      <c r="E48" s="191">
        <v>12</v>
      </c>
      <c r="F48" s="1580">
        <v>1.47</v>
      </c>
      <c r="G48" s="1259"/>
      <c r="H48" s="190">
        <f t="shared" ref="H48:H55" si="2">D48/100*F48*E48</f>
        <v>0</v>
      </c>
      <c r="I48" s="192">
        <v>63</v>
      </c>
      <c r="J48" s="530" t="s">
        <v>420</v>
      </c>
    </row>
    <row r="49" spans="1:10" x14ac:dyDescent="0.25">
      <c r="A49" s="528"/>
      <c r="B49" s="1250" t="s">
        <v>421</v>
      </c>
      <c r="C49" s="1523"/>
      <c r="D49" s="529">
        <f>[1]Таблица_Характеристика!J41</f>
        <v>0</v>
      </c>
      <c r="E49" s="191">
        <v>12</v>
      </c>
      <c r="F49" s="1580">
        <v>2.25</v>
      </c>
      <c r="G49" s="1259"/>
      <c r="H49" s="190">
        <f t="shared" si="2"/>
        <v>0</v>
      </c>
      <c r="I49" s="192">
        <v>63</v>
      </c>
      <c r="J49" s="530" t="s">
        <v>422</v>
      </c>
    </row>
    <row r="50" spans="1:10" x14ac:dyDescent="0.25">
      <c r="A50" s="528"/>
      <c r="B50" s="1250" t="s">
        <v>423</v>
      </c>
      <c r="C50" s="1523"/>
      <c r="D50" s="529">
        <f>[1]Таблица_Характеристика!N41</f>
        <v>0</v>
      </c>
      <c r="E50" s="191">
        <v>12</v>
      </c>
      <c r="F50" s="1580">
        <v>2</v>
      </c>
      <c r="G50" s="1259"/>
      <c r="H50" s="190">
        <f t="shared" si="2"/>
        <v>0</v>
      </c>
      <c r="I50" s="192">
        <v>63</v>
      </c>
      <c r="J50" s="530" t="s">
        <v>424</v>
      </c>
    </row>
    <row r="51" spans="1:10" ht="26.45" customHeight="1" x14ac:dyDescent="0.25">
      <c r="A51" s="528"/>
      <c r="B51" s="1250" t="s">
        <v>425</v>
      </c>
      <c r="C51" s="1523"/>
      <c r="D51" s="529"/>
      <c r="E51" s="191">
        <v>12</v>
      </c>
      <c r="F51" s="1580">
        <v>2.0299999999999998</v>
      </c>
      <c r="G51" s="1328"/>
      <c r="H51" s="190">
        <f t="shared" si="2"/>
        <v>0</v>
      </c>
      <c r="I51" s="192">
        <v>64</v>
      </c>
      <c r="J51" s="530" t="s">
        <v>426</v>
      </c>
    </row>
    <row r="52" spans="1:10" ht="19.149999999999999" customHeight="1" x14ac:dyDescent="0.25">
      <c r="A52" s="528"/>
      <c r="B52" s="1250" t="s">
        <v>427</v>
      </c>
      <c r="C52" s="1523"/>
      <c r="D52" s="529"/>
      <c r="E52" s="191">
        <v>12</v>
      </c>
      <c r="F52" s="1580">
        <v>1.66</v>
      </c>
      <c r="G52" s="1328"/>
      <c r="H52" s="190">
        <f t="shared" si="2"/>
        <v>0</v>
      </c>
      <c r="I52" s="192">
        <v>64</v>
      </c>
      <c r="J52" s="530" t="s">
        <v>428</v>
      </c>
    </row>
    <row r="53" spans="1:10" ht="27.6" customHeight="1" x14ac:dyDescent="0.25">
      <c r="A53" s="528"/>
      <c r="B53" s="1250" t="s">
        <v>429</v>
      </c>
      <c r="C53" s="1523"/>
      <c r="D53" s="529">
        <f>[1]Таблица_Характеристика!N42</f>
        <v>0</v>
      </c>
      <c r="E53" s="191">
        <v>12</v>
      </c>
      <c r="F53" s="1580">
        <v>3.1</v>
      </c>
      <c r="G53" s="1259"/>
      <c r="H53" s="190">
        <f t="shared" si="2"/>
        <v>0</v>
      </c>
      <c r="I53" s="192">
        <v>64</v>
      </c>
      <c r="J53" s="530" t="s">
        <v>430</v>
      </c>
    </row>
    <row r="54" spans="1:10" ht="29.45" customHeight="1" x14ac:dyDescent="0.25">
      <c r="A54" s="534"/>
      <c r="B54" s="1246" t="s">
        <v>431</v>
      </c>
      <c r="C54" s="1590"/>
      <c r="D54" s="190">
        <f>[1]Таблица_Характеристика!C43</f>
        <v>0</v>
      </c>
      <c r="E54" s="191">
        <v>12</v>
      </c>
      <c r="F54" s="1225">
        <v>2.76</v>
      </c>
      <c r="G54" s="1328"/>
      <c r="H54" s="190">
        <f t="shared" si="2"/>
        <v>0</v>
      </c>
      <c r="I54" s="192">
        <v>65</v>
      </c>
      <c r="J54" s="535" t="s">
        <v>432</v>
      </c>
    </row>
    <row r="55" spans="1:10" ht="48.6" customHeight="1" x14ac:dyDescent="0.25">
      <c r="A55" s="534"/>
      <c r="B55" s="1246" t="s">
        <v>433</v>
      </c>
      <c r="C55" s="1523"/>
      <c r="D55" s="190">
        <f>[1]Таблица_Характеристика!L43</f>
        <v>0</v>
      </c>
      <c r="E55" s="191">
        <v>12</v>
      </c>
      <c r="F55" s="1225">
        <v>1.3</v>
      </c>
      <c r="G55" s="1328"/>
      <c r="H55" s="190">
        <f t="shared" si="2"/>
        <v>0</v>
      </c>
      <c r="I55" s="192">
        <v>65</v>
      </c>
      <c r="J55" s="535" t="s">
        <v>434</v>
      </c>
    </row>
    <row r="56" spans="1:10" ht="29.45" customHeight="1" x14ac:dyDescent="0.25">
      <c r="A56" s="534"/>
      <c r="B56" s="1246" t="s">
        <v>435</v>
      </c>
      <c r="C56" s="1590"/>
      <c r="D56" s="225">
        <f>[1]Таблица_Характеристика!N43</f>
        <v>0</v>
      </c>
      <c r="E56" s="191">
        <v>12</v>
      </c>
      <c r="F56" s="1225">
        <v>7.0000000000000007E-2</v>
      </c>
      <c r="G56" s="1328"/>
      <c r="H56" s="190">
        <f>D56/10*F56*E56</f>
        <v>0</v>
      </c>
      <c r="I56" s="192">
        <v>66</v>
      </c>
      <c r="J56" s="535" t="s">
        <v>436</v>
      </c>
    </row>
    <row r="57" spans="1:10" ht="42.6" customHeight="1" x14ac:dyDescent="0.25">
      <c r="A57" s="536" t="s">
        <v>230</v>
      </c>
      <c r="B57" s="1593" t="s">
        <v>437</v>
      </c>
      <c r="C57" s="1594"/>
      <c r="D57" s="190">
        <v>0</v>
      </c>
      <c r="E57" s="191">
        <f>G23</f>
        <v>247</v>
      </c>
      <c r="F57" s="1225">
        <f>IF([1]Расчет!D29=0,0.74,IF([1]Расчет!D29=1,1.11,IF([1]Расчет!D29=2,1.06,1.25)))</f>
        <v>1.25</v>
      </c>
      <c r="G57" s="1226"/>
      <c r="H57" s="190">
        <f t="shared" ref="H57:H61" si="3">(D57/100)*F57*E57</f>
        <v>0</v>
      </c>
      <c r="I57" s="192">
        <v>67</v>
      </c>
      <c r="J57" s="535" t="str">
        <f>CONCATENATE("1-67-",[1]Расчет!D29+1)</f>
        <v>1-67-219,83</v>
      </c>
    </row>
    <row r="58" spans="1:10" ht="40.15" customHeight="1" x14ac:dyDescent="0.25">
      <c r="A58" s="536" t="s">
        <v>234</v>
      </c>
      <c r="B58" s="1593" t="s">
        <v>438</v>
      </c>
      <c r="C58" s="1594"/>
      <c r="D58" s="190"/>
      <c r="E58" s="191">
        <v>156</v>
      </c>
      <c r="F58" s="1225">
        <f>IF([1]Расчет!D29=0,0.55,IF([1]Расчет!D29=1,0.93,IF([1]Расчет!D29=2,0.79,0.93)))</f>
        <v>0.93</v>
      </c>
      <c r="G58" s="1226"/>
      <c r="H58" s="190">
        <f t="shared" si="3"/>
        <v>0</v>
      </c>
      <c r="I58" s="192">
        <v>68</v>
      </c>
      <c r="J58" s="535" t="str">
        <f>CONCATENATE("1-68-",[1]Расчет!D29+1)</f>
        <v>1-68-219,83</v>
      </c>
    </row>
    <row r="59" spans="1:10" ht="48" customHeight="1" x14ac:dyDescent="0.25">
      <c r="A59" s="536" t="s">
        <v>234</v>
      </c>
      <c r="B59" s="1250" t="s">
        <v>439</v>
      </c>
      <c r="C59" s="1592"/>
      <c r="D59" s="190">
        <f>[1]Таблица_Характеристика!N59</f>
        <v>0</v>
      </c>
      <c r="E59" s="191">
        <f>G23</f>
        <v>247</v>
      </c>
      <c r="F59" s="1225">
        <f>IF([1]Расчет!D29=1,1.66,(IF([1]Расчет!D29=3,1.7,0)))</f>
        <v>0</v>
      </c>
      <c r="G59" s="1226"/>
      <c r="H59" s="190">
        <f t="shared" si="3"/>
        <v>0</v>
      </c>
      <c r="I59" s="192">
        <v>69</v>
      </c>
      <c r="J59" s="535" t="str">
        <f>IF([1]Таблица_Характеристика!G59=0,"",CONCATENATE("1-69-",[1]Расчет!D29-1))</f>
        <v/>
      </c>
    </row>
    <row r="60" spans="1:10" ht="41.45" customHeight="1" x14ac:dyDescent="0.25">
      <c r="A60" s="537" t="s">
        <v>235</v>
      </c>
      <c r="B60" s="1246" t="s">
        <v>440</v>
      </c>
      <c r="C60" s="1592"/>
      <c r="D60" s="190">
        <v>0</v>
      </c>
      <c r="E60" s="191">
        <v>24</v>
      </c>
      <c r="F60" s="1225">
        <f>IF([1]Расчет!D29=0,2.21,IF([1]Расчет!D29=1,2.6,IF([1]Расчет!D29=2,2.35,2.65)))</f>
        <v>2.65</v>
      </c>
      <c r="G60" s="1226"/>
      <c r="H60" s="190">
        <f t="shared" si="3"/>
        <v>0</v>
      </c>
      <c r="I60" s="192">
        <v>71</v>
      </c>
      <c r="J60" s="535" t="str">
        <f>CONCATENATE("1-71-",[1]Расчет!D29+1)</f>
        <v>1-71-219,83</v>
      </c>
    </row>
    <row r="61" spans="1:10" ht="39" customHeight="1" x14ac:dyDescent="0.25">
      <c r="A61" s="537" t="s">
        <v>250</v>
      </c>
      <c r="B61" s="1246" t="s">
        <v>441</v>
      </c>
      <c r="C61" s="1592"/>
      <c r="D61" s="190">
        <v>0</v>
      </c>
      <c r="E61" s="191">
        <v>24</v>
      </c>
      <c r="F61" s="1225">
        <f>IF([1]Расчет!D29=0,2.1,IF([1]Расчет!D29=1,2.5,IF([1]Расчет!D29=2,2.25,2.55)))</f>
        <v>2.5499999999999998</v>
      </c>
      <c r="G61" s="1226"/>
      <c r="H61" s="190">
        <f t="shared" si="3"/>
        <v>0</v>
      </c>
      <c r="I61" s="192">
        <v>72</v>
      </c>
      <c r="J61" s="535" t="str">
        <f>CONCATENATE("1-72-",[1]Расчет!D29+1)</f>
        <v>1-72-219,83</v>
      </c>
    </row>
    <row r="62" spans="1:10" x14ac:dyDescent="0.25">
      <c r="A62" s="208"/>
      <c r="B62" s="1260" t="s">
        <v>256</v>
      </c>
      <c r="C62" s="1591"/>
      <c r="D62" s="538"/>
      <c r="E62" s="210"/>
      <c r="F62" s="855"/>
      <c r="G62" s="855"/>
      <c r="H62" s="211">
        <f>SUM(H28:H61)</f>
        <v>0</v>
      </c>
      <c r="I62" s="212"/>
      <c r="J62" s="213"/>
    </row>
    <row r="63" spans="1:10" x14ac:dyDescent="0.25">
      <c r="A63" s="1595" t="s">
        <v>453</v>
      </c>
      <c r="B63" s="1595"/>
      <c r="C63" s="1595"/>
      <c r="D63" s="1595"/>
      <c r="E63" s="1595"/>
      <c r="F63" s="1595"/>
      <c r="G63" s="1595"/>
      <c r="H63" s="1595"/>
      <c r="I63" s="1595"/>
      <c r="J63" s="1595"/>
    </row>
    <row r="64" spans="1:10" x14ac:dyDescent="0.25">
      <c r="A64" s="539"/>
      <c r="B64" s="539"/>
      <c r="C64" s="540"/>
      <c r="D64" s="540"/>
      <c r="E64" s="541"/>
      <c r="F64" s="541"/>
      <c r="G64" s="540"/>
      <c r="H64" s="541"/>
      <c r="I64" s="541"/>
      <c r="J64" s="541"/>
    </row>
    <row r="65" spans="1:10" x14ac:dyDescent="0.25">
      <c r="A65" s="1596" t="s">
        <v>670</v>
      </c>
      <c r="B65" s="1597"/>
      <c r="C65" s="1597"/>
      <c r="D65" s="1597"/>
      <c r="E65" s="1597"/>
      <c r="F65" s="1597"/>
      <c r="G65" s="1597"/>
      <c r="H65" s="1597"/>
      <c r="I65" s="1597"/>
      <c r="J65" s="1597"/>
    </row>
    <row r="66" spans="1:10" ht="96" x14ac:dyDescent="0.25">
      <c r="A66" s="1510" t="s">
        <v>181</v>
      </c>
      <c r="B66" s="1243"/>
      <c r="C66" s="218" t="s">
        <v>259</v>
      </c>
      <c r="D66" s="219" t="s">
        <v>260</v>
      </c>
      <c r="E66" s="220" t="s">
        <v>261</v>
      </c>
      <c r="F66" s="221" t="s">
        <v>671</v>
      </c>
      <c r="G66" s="221" t="s">
        <v>672</v>
      </c>
      <c r="H66" s="220" t="s">
        <v>264</v>
      </c>
      <c r="I66" s="1244" t="s">
        <v>673</v>
      </c>
      <c r="J66" s="1245"/>
    </row>
    <row r="67" spans="1:10" x14ac:dyDescent="0.25">
      <c r="A67" s="1598">
        <v>1</v>
      </c>
      <c r="B67" s="1228"/>
      <c r="C67" s="464">
        <v>2</v>
      </c>
      <c r="D67" s="188">
        <v>3</v>
      </c>
      <c r="E67" s="188">
        <v>4</v>
      </c>
      <c r="F67" s="188">
        <v>5</v>
      </c>
      <c r="G67" s="542"/>
      <c r="H67" s="188">
        <v>6</v>
      </c>
      <c r="I67" s="1599">
        <v>7</v>
      </c>
      <c r="J67" s="816"/>
    </row>
    <row r="68" spans="1:10" x14ac:dyDescent="0.25">
      <c r="A68" s="1298" t="s">
        <v>188</v>
      </c>
      <c r="B68" s="753"/>
      <c r="C68" s="224">
        <f>H62</f>
        <v>0</v>
      </c>
      <c r="D68" s="190">
        <f>J23</f>
        <v>1987</v>
      </c>
      <c r="E68" s="190">
        <f>ROUND(C68/D68,2)</f>
        <v>0</v>
      </c>
      <c r="F68" s="190">
        <f>оклади!K7</f>
        <v>6700</v>
      </c>
      <c r="G68" s="197">
        <f>E68*F68</f>
        <v>0</v>
      </c>
      <c r="H68" s="190">
        <v>0</v>
      </c>
      <c r="I68" s="1258">
        <f>G68*1.09+H68</f>
        <v>0</v>
      </c>
      <c r="J68" s="1328"/>
    </row>
    <row r="69" spans="1:10" x14ac:dyDescent="0.25">
      <c r="A69" s="543"/>
      <c r="B69" s="544"/>
      <c r="C69" s="545"/>
      <c r="D69" s="546"/>
      <c r="E69" s="546"/>
      <c r="F69" s="546"/>
      <c r="G69" s="547"/>
      <c r="H69" s="546"/>
      <c r="I69" s="546"/>
      <c r="J69" s="546"/>
    </row>
    <row r="70" spans="1:10" x14ac:dyDescent="0.25">
      <c r="A70" s="1267" t="s">
        <v>607</v>
      </c>
      <c r="B70" s="1267"/>
      <c r="C70" s="1267"/>
      <c r="D70" s="1267"/>
      <c r="E70" s="1267"/>
      <c r="F70" s="1267"/>
      <c r="G70" s="1267"/>
      <c r="H70" s="1267"/>
      <c r="I70" s="1267"/>
      <c r="J70" s="1267"/>
    </row>
    <row r="71" spans="1:10" ht="84" x14ac:dyDescent="0.25">
      <c r="A71" s="1269" t="s">
        <v>266</v>
      </c>
      <c r="B71" s="1270"/>
      <c r="C71" s="220" t="s">
        <v>267</v>
      </c>
      <c r="D71" s="220" t="s">
        <v>268</v>
      </c>
      <c r="E71" s="1269" t="s">
        <v>674</v>
      </c>
      <c r="F71" s="1271"/>
      <c r="G71" s="1269" t="s">
        <v>675</v>
      </c>
      <c r="H71" s="753"/>
      <c r="I71" s="1269" t="s">
        <v>676</v>
      </c>
      <c r="J71" s="753"/>
    </row>
    <row r="72" spans="1:10" x14ac:dyDescent="0.25">
      <c r="A72" s="1269">
        <v>1</v>
      </c>
      <c r="B72" s="1270"/>
      <c r="C72" s="220">
        <v>2</v>
      </c>
      <c r="D72" s="220">
        <v>3</v>
      </c>
      <c r="E72" s="1269">
        <v>4</v>
      </c>
      <c r="F72" s="1271"/>
      <c r="G72" s="1269">
        <v>5</v>
      </c>
      <c r="H72" s="753"/>
      <c r="I72" s="1269">
        <v>6</v>
      </c>
      <c r="J72" s="753"/>
    </row>
    <row r="73" spans="1:10" ht="25.15" customHeight="1" x14ac:dyDescent="0.25">
      <c r="A73" s="1298" t="s">
        <v>272</v>
      </c>
      <c r="B73" s="1298"/>
      <c r="C73" s="392">
        <f>прибирання!C49</f>
        <v>2502571.37</v>
      </c>
      <c r="D73" s="232">
        <f>прибирання!D49</f>
        <v>5976607.4800000004</v>
      </c>
      <c r="E73" s="1272">
        <f>C73/D73*100</f>
        <v>41.872774452305173</v>
      </c>
      <c r="F73" s="856"/>
      <c r="G73" s="1273">
        <f>I68</f>
        <v>0</v>
      </c>
      <c r="H73" s="753"/>
      <c r="I73" s="1273">
        <f>E73*G73/100</f>
        <v>0</v>
      </c>
      <c r="J73" s="753"/>
    </row>
    <row r="74" spans="1:10" ht="26.45" customHeight="1" x14ac:dyDescent="0.25">
      <c r="A74" s="1298" t="s">
        <v>273</v>
      </c>
      <c r="B74" s="1298"/>
      <c r="C74" s="392">
        <f>прибирання!C50</f>
        <v>4320090.5999999996</v>
      </c>
      <c r="D74" s="232">
        <f>прибирання!D50</f>
        <v>24679377</v>
      </c>
      <c r="E74" s="1272">
        <f>C74/D74*100</f>
        <v>17.504860839882628</v>
      </c>
      <c r="F74" s="856"/>
      <c r="G74" s="1273">
        <f>I11+I12+I14+I15+I73</f>
        <v>0</v>
      </c>
      <c r="H74" s="753"/>
      <c r="I74" s="1273">
        <f>E74*G74/100</f>
        <v>0</v>
      </c>
      <c r="J74" s="753"/>
    </row>
    <row r="75" spans="1:10" ht="35.450000000000003" customHeight="1" x14ac:dyDescent="0.25">
      <c r="A75" s="1300" t="s">
        <v>274</v>
      </c>
      <c r="B75" s="1300"/>
      <c r="C75" s="393"/>
      <c r="D75" s="394"/>
      <c r="E75" s="1278"/>
      <c r="F75" s="856"/>
      <c r="G75" s="1279"/>
      <c r="H75" s="753"/>
      <c r="I75" s="1279">
        <f>SUM(I73:I74)</f>
        <v>0</v>
      </c>
      <c r="J75" s="753"/>
    </row>
    <row r="76" spans="1:10" x14ac:dyDescent="0.25">
      <c r="A76" s="133"/>
      <c r="B76" s="133"/>
      <c r="C76" s="133"/>
      <c r="D76" s="133"/>
      <c r="E76" s="133"/>
      <c r="F76" s="133"/>
      <c r="G76" s="133"/>
      <c r="H76" s="133"/>
      <c r="I76" s="133"/>
      <c r="J76" s="133"/>
    </row>
    <row r="77" spans="1:10" x14ac:dyDescent="0.25">
      <c r="A77" s="1276">
        <f>[1]прибир.прибуд!A81</f>
        <v>0</v>
      </c>
      <c r="B77" s="1276"/>
      <c r="C77" s="1276"/>
      <c r="D77" s="1276"/>
      <c r="E77" s="1276"/>
      <c r="F77" s="1276"/>
      <c r="G77" s="1276"/>
      <c r="H77" s="1276"/>
      <c r="I77" s="1276"/>
      <c r="J77" s="1276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2"/>
  <sheetViews>
    <sheetView view="pageBreakPreview" topLeftCell="A73" zoomScale="60" zoomScaleNormal="100" workbookViewId="0">
      <selection activeCell="C44" sqref="C44:C45"/>
    </sheetView>
  </sheetViews>
  <sheetFormatPr defaultRowHeight="15.75" x14ac:dyDescent="0.25"/>
  <cols>
    <col min="1" max="1" width="7.5703125" style="581" customWidth="1"/>
    <col min="2" max="2" width="53.7109375" style="579" customWidth="1"/>
    <col min="3" max="3" width="72.28515625" style="579" customWidth="1"/>
    <col min="4" max="4" width="3.7109375" style="579" customWidth="1"/>
    <col min="5" max="22" width="8.85546875" style="579"/>
  </cols>
  <sheetData>
    <row r="1" spans="1:22" ht="68.25" customHeight="1" x14ac:dyDescent="0.25">
      <c r="A1" s="935" t="s">
        <v>1003</v>
      </c>
      <c r="B1" s="935"/>
      <c r="C1" s="935"/>
    </row>
    <row r="3" spans="1:22" s="247" customFormat="1" ht="31.5" x14ac:dyDescent="0.25">
      <c r="A3" s="586" t="s">
        <v>8</v>
      </c>
      <c r="B3" s="587" t="s">
        <v>752</v>
      </c>
      <c r="C3" s="587" t="s">
        <v>753</v>
      </c>
      <c r="D3" s="580"/>
      <c r="E3" s="580"/>
      <c r="F3" s="580"/>
      <c r="G3" s="580"/>
      <c r="H3" s="580"/>
      <c r="I3" s="580"/>
      <c r="J3" s="580"/>
      <c r="K3" s="580"/>
      <c r="L3" s="580"/>
      <c r="M3" s="580"/>
      <c r="N3" s="580"/>
      <c r="O3" s="580"/>
      <c r="P3" s="580"/>
      <c r="Q3" s="580"/>
      <c r="R3" s="580"/>
      <c r="S3" s="580"/>
      <c r="T3" s="580"/>
      <c r="U3" s="580"/>
      <c r="V3" s="580"/>
    </row>
    <row r="4" spans="1:22" s="582" customFormat="1" x14ac:dyDescent="0.25">
      <c r="A4" s="587">
        <v>1</v>
      </c>
      <c r="B4" s="587">
        <v>2</v>
      </c>
      <c r="C4" s="587">
        <v>3</v>
      </c>
      <c r="D4" s="581"/>
      <c r="E4" s="581"/>
      <c r="F4" s="581"/>
      <c r="G4" s="581"/>
      <c r="H4" s="581"/>
      <c r="I4" s="581"/>
      <c r="J4" s="581"/>
      <c r="K4" s="581"/>
      <c r="L4" s="581"/>
      <c r="M4" s="581"/>
      <c r="N4" s="581"/>
      <c r="O4" s="581"/>
      <c r="P4" s="581"/>
      <c r="Q4" s="581"/>
      <c r="R4" s="581"/>
      <c r="S4" s="581"/>
      <c r="T4" s="581"/>
      <c r="U4" s="581"/>
      <c r="V4" s="581"/>
    </row>
    <row r="5" spans="1:22" s="6" customFormat="1" x14ac:dyDescent="0.25">
      <c r="A5" s="588">
        <v>1</v>
      </c>
      <c r="B5" s="933" t="s">
        <v>754</v>
      </c>
      <c r="C5" s="934"/>
      <c r="D5" s="583"/>
      <c r="E5" s="583"/>
      <c r="F5" s="583"/>
      <c r="G5" s="583"/>
      <c r="H5" s="583"/>
      <c r="I5" s="583"/>
      <c r="J5" s="583"/>
      <c r="K5" s="583"/>
      <c r="L5" s="583"/>
      <c r="M5" s="583"/>
      <c r="N5" s="583"/>
      <c r="O5" s="583"/>
      <c r="P5" s="583"/>
      <c r="Q5" s="583"/>
      <c r="R5" s="583"/>
      <c r="S5" s="583"/>
      <c r="T5" s="583"/>
      <c r="U5" s="583"/>
      <c r="V5" s="583"/>
    </row>
    <row r="6" spans="1:22" x14ac:dyDescent="0.25">
      <c r="A6" s="589" t="s">
        <v>761</v>
      </c>
      <c r="B6" s="590" t="s">
        <v>755</v>
      </c>
      <c r="C6" s="591"/>
    </row>
    <row r="7" spans="1:22" x14ac:dyDescent="0.25">
      <c r="A7" s="592"/>
      <c r="B7" s="591" t="s">
        <v>799</v>
      </c>
      <c r="C7" s="591" t="s">
        <v>756</v>
      </c>
    </row>
    <row r="8" spans="1:22" x14ac:dyDescent="0.25">
      <c r="A8" s="592"/>
      <c r="B8" s="591" t="s">
        <v>757</v>
      </c>
      <c r="C8" s="591" t="s">
        <v>773</v>
      </c>
    </row>
    <row r="9" spans="1:22" x14ac:dyDescent="0.25">
      <c r="A9" s="592"/>
      <c r="B9" s="591" t="s">
        <v>591</v>
      </c>
      <c r="C9" s="591" t="s">
        <v>773</v>
      </c>
    </row>
    <row r="10" spans="1:22" x14ac:dyDescent="0.25">
      <c r="A10" s="592"/>
      <c r="B10" s="591" t="s">
        <v>758</v>
      </c>
      <c r="C10" s="591" t="s">
        <v>773</v>
      </c>
    </row>
    <row r="11" spans="1:22" x14ac:dyDescent="0.25">
      <c r="A11" s="592"/>
      <c r="B11" s="591" t="s">
        <v>598</v>
      </c>
      <c r="C11" s="591" t="s">
        <v>773</v>
      </c>
    </row>
    <row r="12" spans="1:22" ht="31.5" x14ac:dyDescent="0.25">
      <c r="A12" s="592"/>
      <c r="B12" s="593" t="s">
        <v>759</v>
      </c>
      <c r="C12" s="591" t="s">
        <v>773</v>
      </c>
    </row>
    <row r="13" spans="1:22" x14ac:dyDescent="0.25">
      <c r="A13" s="589" t="s">
        <v>760</v>
      </c>
      <c r="B13" s="590" t="s">
        <v>762</v>
      </c>
      <c r="C13" s="591"/>
    </row>
    <row r="14" spans="1:22" ht="47.25" x14ac:dyDescent="0.25">
      <c r="A14" s="592"/>
      <c r="B14" s="593" t="s">
        <v>764</v>
      </c>
      <c r="C14" s="591" t="s">
        <v>756</v>
      </c>
    </row>
    <row r="15" spans="1:22" x14ac:dyDescent="0.25">
      <c r="A15" s="592"/>
      <c r="B15" s="591" t="s">
        <v>763</v>
      </c>
      <c r="C15" s="591" t="s">
        <v>950</v>
      </c>
    </row>
    <row r="16" spans="1:22" x14ac:dyDescent="0.25">
      <c r="A16" s="592"/>
      <c r="B16" s="591" t="s">
        <v>765</v>
      </c>
      <c r="C16" s="591" t="s">
        <v>950</v>
      </c>
    </row>
    <row r="17" spans="1:3" x14ac:dyDescent="0.25">
      <c r="A17" s="592"/>
      <c r="B17" s="591" t="s">
        <v>766</v>
      </c>
      <c r="C17" s="591" t="s">
        <v>950</v>
      </c>
    </row>
    <row r="18" spans="1:3" x14ac:dyDescent="0.25">
      <c r="A18" s="592"/>
      <c r="B18" s="591" t="s">
        <v>767</v>
      </c>
      <c r="C18" s="591" t="s">
        <v>950</v>
      </c>
    </row>
    <row r="19" spans="1:3" x14ac:dyDescent="0.25">
      <c r="A19" s="592"/>
      <c r="B19" s="591" t="s">
        <v>770</v>
      </c>
      <c r="C19" s="591" t="s">
        <v>773</v>
      </c>
    </row>
    <row r="20" spans="1:3" ht="15.75" customHeight="1" x14ac:dyDescent="0.25">
      <c r="A20" s="589" t="s">
        <v>768</v>
      </c>
      <c r="B20" s="590" t="s">
        <v>769</v>
      </c>
      <c r="C20" s="591"/>
    </row>
    <row r="21" spans="1:3" ht="15.75" hidden="1" customHeight="1" x14ac:dyDescent="0.25">
      <c r="A21" s="592"/>
      <c r="B21" s="591" t="s">
        <v>771</v>
      </c>
      <c r="C21" s="591" t="s">
        <v>756</v>
      </c>
    </row>
    <row r="22" spans="1:3" ht="18.75" hidden="1" customHeight="1" x14ac:dyDescent="0.25">
      <c r="A22" s="592"/>
      <c r="B22" s="591" t="s">
        <v>772</v>
      </c>
      <c r="C22" s="591" t="s">
        <v>773</v>
      </c>
    </row>
    <row r="23" spans="1:3" ht="15.75" hidden="1" customHeight="1" x14ac:dyDescent="0.25">
      <c r="A23" s="587"/>
      <c r="B23" s="591" t="s">
        <v>774</v>
      </c>
      <c r="C23" s="591" t="s">
        <v>773</v>
      </c>
    </row>
    <row r="24" spans="1:3" x14ac:dyDescent="0.25">
      <c r="A24" s="587"/>
      <c r="B24" s="594" t="s">
        <v>800</v>
      </c>
      <c r="C24" s="591" t="s">
        <v>951</v>
      </c>
    </row>
    <row r="25" spans="1:3" x14ac:dyDescent="0.25">
      <c r="A25" s="589" t="s">
        <v>775</v>
      </c>
      <c r="B25" s="590" t="s">
        <v>776</v>
      </c>
      <c r="C25" s="591"/>
    </row>
    <row r="26" spans="1:3" x14ac:dyDescent="0.25">
      <c r="A26" s="587"/>
      <c r="B26" s="591" t="s">
        <v>777</v>
      </c>
      <c r="C26" s="591" t="s">
        <v>952</v>
      </c>
    </row>
    <row r="27" spans="1:3" x14ac:dyDescent="0.25">
      <c r="A27" s="587"/>
      <c r="B27" s="591" t="s">
        <v>778</v>
      </c>
      <c r="C27" s="591" t="s">
        <v>953</v>
      </c>
    </row>
    <row r="28" spans="1:3" x14ac:dyDescent="0.25">
      <c r="A28" s="587"/>
      <c r="B28" s="591" t="s">
        <v>779</v>
      </c>
      <c r="C28" s="591" t="s">
        <v>953</v>
      </c>
    </row>
    <row r="29" spans="1:3" x14ac:dyDescent="0.25">
      <c r="A29" s="587"/>
      <c r="B29" s="591" t="s">
        <v>780</v>
      </c>
      <c r="C29" s="591" t="s">
        <v>952</v>
      </c>
    </row>
    <row r="30" spans="1:3" x14ac:dyDescent="0.25">
      <c r="A30" s="587"/>
      <c r="B30" s="591" t="s">
        <v>781</v>
      </c>
      <c r="C30" s="591" t="s">
        <v>773</v>
      </c>
    </row>
    <row r="31" spans="1:3" x14ac:dyDescent="0.25">
      <c r="A31" s="587"/>
      <c r="B31" s="591" t="s">
        <v>880</v>
      </c>
      <c r="C31" s="591" t="s">
        <v>954</v>
      </c>
    </row>
    <row r="32" spans="1:3" x14ac:dyDescent="0.25">
      <c r="A32" s="587"/>
      <c r="B32" s="591" t="s">
        <v>782</v>
      </c>
      <c r="C32" s="591" t="s">
        <v>773</v>
      </c>
    </row>
    <row r="33" spans="1:22" x14ac:dyDescent="0.25">
      <c r="A33" s="587"/>
      <c r="B33" s="591" t="s">
        <v>783</v>
      </c>
      <c r="C33" s="593" t="s">
        <v>955</v>
      </c>
    </row>
    <row r="34" spans="1:22" x14ac:dyDescent="0.25">
      <c r="A34" s="587"/>
      <c r="B34" s="591" t="s">
        <v>784</v>
      </c>
      <c r="C34" s="591" t="s">
        <v>773</v>
      </c>
    </row>
    <row r="35" spans="1:22" x14ac:dyDescent="0.25">
      <c r="A35" s="587"/>
      <c r="B35" s="591" t="s">
        <v>785</v>
      </c>
      <c r="C35" s="591" t="s">
        <v>961</v>
      </c>
    </row>
    <row r="36" spans="1:22" x14ac:dyDescent="0.25">
      <c r="A36" s="589" t="s">
        <v>786</v>
      </c>
      <c r="B36" s="590" t="s">
        <v>787</v>
      </c>
      <c r="C36" s="591"/>
    </row>
    <row r="37" spans="1:22" x14ac:dyDescent="0.25">
      <c r="A37" s="587"/>
      <c r="B37" s="591" t="s">
        <v>902</v>
      </c>
      <c r="C37" s="591" t="s">
        <v>756</v>
      </c>
    </row>
    <row r="38" spans="1:22" ht="63" x14ac:dyDescent="0.25">
      <c r="A38" s="587"/>
      <c r="B38" s="593" t="s">
        <v>901</v>
      </c>
      <c r="C38" s="591" t="s">
        <v>756</v>
      </c>
    </row>
    <row r="39" spans="1:22" ht="47.25" x14ac:dyDescent="0.25">
      <c r="A39" s="587"/>
      <c r="B39" s="593" t="s">
        <v>903</v>
      </c>
      <c r="C39" s="591" t="s">
        <v>956</v>
      </c>
    </row>
    <row r="40" spans="1:22" s="6" customFormat="1" x14ac:dyDescent="0.25">
      <c r="A40" s="588">
        <v>2</v>
      </c>
      <c r="B40" s="594" t="s">
        <v>0</v>
      </c>
      <c r="C40" s="591" t="s">
        <v>798</v>
      </c>
      <c r="D40" s="583"/>
      <c r="E40" s="583"/>
      <c r="F40" s="583"/>
      <c r="G40" s="583"/>
      <c r="H40" s="583"/>
      <c r="I40" s="583"/>
      <c r="J40" s="583"/>
      <c r="K40" s="583"/>
      <c r="L40" s="583"/>
      <c r="M40" s="583"/>
      <c r="N40" s="583"/>
      <c r="O40" s="583"/>
      <c r="P40" s="583"/>
      <c r="Q40" s="583"/>
      <c r="R40" s="583"/>
      <c r="S40" s="583"/>
      <c r="T40" s="583"/>
      <c r="U40" s="583"/>
      <c r="V40" s="583"/>
    </row>
    <row r="41" spans="1:22" s="6" customFormat="1" x14ac:dyDescent="0.25">
      <c r="A41" s="588">
        <v>3</v>
      </c>
      <c r="B41" s="594" t="s">
        <v>788</v>
      </c>
      <c r="C41" s="591" t="s">
        <v>951</v>
      </c>
      <c r="D41" s="583"/>
      <c r="E41" s="583"/>
      <c r="F41" s="583"/>
      <c r="G41" s="583"/>
      <c r="H41" s="583"/>
      <c r="I41" s="583"/>
      <c r="J41" s="583"/>
      <c r="K41" s="583"/>
      <c r="L41" s="583"/>
      <c r="M41" s="583"/>
      <c r="N41" s="583"/>
      <c r="O41" s="583"/>
      <c r="P41" s="583"/>
      <c r="Q41" s="583"/>
      <c r="R41" s="583"/>
      <c r="S41" s="583"/>
      <c r="T41" s="583"/>
      <c r="U41" s="583"/>
      <c r="V41" s="583"/>
    </row>
    <row r="42" spans="1:22" s="6" customFormat="1" ht="29.25" customHeight="1" x14ac:dyDescent="0.25">
      <c r="A42" s="588">
        <v>4</v>
      </c>
      <c r="B42" s="594" t="s">
        <v>904</v>
      </c>
      <c r="C42" s="591" t="s">
        <v>950</v>
      </c>
      <c r="D42" s="583"/>
      <c r="E42" s="583"/>
      <c r="F42" s="583"/>
      <c r="G42" s="583"/>
      <c r="H42" s="583"/>
      <c r="I42" s="583"/>
      <c r="J42" s="583"/>
      <c r="K42" s="583"/>
      <c r="L42" s="583"/>
      <c r="M42" s="583"/>
      <c r="N42" s="583"/>
      <c r="O42" s="583"/>
      <c r="P42" s="583"/>
      <c r="Q42" s="583"/>
      <c r="R42" s="583"/>
      <c r="S42" s="583"/>
      <c r="T42" s="583"/>
      <c r="U42" s="583"/>
      <c r="V42" s="583"/>
    </row>
    <row r="43" spans="1:22" s="6" customFormat="1" ht="30.75" hidden="1" customHeight="1" x14ac:dyDescent="0.25">
      <c r="A43" s="588">
        <v>4</v>
      </c>
      <c r="B43" s="595" t="s">
        <v>939</v>
      </c>
      <c r="C43" s="658" t="s">
        <v>940</v>
      </c>
      <c r="D43" s="583"/>
      <c r="E43" s="583"/>
      <c r="F43" s="583"/>
      <c r="G43" s="583"/>
      <c r="H43" s="583"/>
      <c r="I43" s="583"/>
      <c r="J43" s="583"/>
      <c r="K43" s="583"/>
      <c r="L43" s="583"/>
      <c r="M43" s="583"/>
      <c r="N43" s="583"/>
      <c r="O43" s="583"/>
      <c r="P43" s="583"/>
      <c r="Q43" s="583"/>
      <c r="R43" s="583"/>
      <c r="S43" s="583"/>
      <c r="T43" s="583"/>
      <c r="U43" s="583"/>
      <c r="V43" s="583"/>
    </row>
    <row r="44" spans="1:22" s="6" customFormat="1" ht="174" customHeight="1" x14ac:dyDescent="0.25">
      <c r="A44" s="588">
        <v>5</v>
      </c>
      <c r="B44" s="657" t="s">
        <v>962</v>
      </c>
      <c r="C44" s="689" t="s">
        <v>1004</v>
      </c>
      <c r="D44" s="583"/>
      <c r="E44" s="583"/>
      <c r="F44" s="583"/>
      <c r="G44" s="583"/>
      <c r="H44" s="583"/>
      <c r="I44" s="583"/>
      <c r="J44" s="583"/>
      <c r="K44" s="583"/>
      <c r="L44" s="583"/>
      <c r="M44" s="583"/>
      <c r="N44" s="583"/>
      <c r="O44" s="583"/>
      <c r="P44" s="583"/>
      <c r="Q44" s="583"/>
      <c r="R44" s="583"/>
      <c r="S44" s="583"/>
      <c r="T44" s="583"/>
      <c r="U44" s="583"/>
      <c r="V44" s="583"/>
    </row>
    <row r="45" spans="1:22" s="6" customFormat="1" ht="231.75" customHeight="1" x14ac:dyDescent="0.25">
      <c r="A45" s="588">
        <v>6</v>
      </c>
      <c r="B45" s="667" t="s">
        <v>946</v>
      </c>
      <c r="C45" s="689" t="s">
        <v>1005</v>
      </c>
      <c r="D45" s="583"/>
      <c r="E45" s="583"/>
      <c r="F45" s="583"/>
      <c r="G45" s="583"/>
      <c r="H45" s="583"/>
      <c r="I45" s="583"/>
      <c r="J45" s="583"/>
      <c r="K45" s="583"/>
      <c r="L45" s="583"/>
      <c r="M45" s="583"/>
      <c r="N45" s="583"/>
      <c r="O45" s="583"/>
      <c r="P45" s="583"/>
      <c r="Q45" s="583"/>
      <c r="R45" s="583"/>
      <c r="S45" s="583"/>
      <c r="T45" s="583"/>
      <c r="U45" s="583"/>
      <c r="V45" s="583"/>
    </row>
    <row r="46" spans="1:22" s="6" customFormat="1" x14ac:dyDescent="0.25">
      <c r="A46" s="588">
        <v>7</v>
      </c>
      <c r="B46" s="933" t="s">
        <v>3</v>
      </c>
      <c r="C46" s="934"/>
      <c r="D46" s="583"/>
      <c r="E46" s="583"/>
      <c r="F46" s="583"/>
      <c r="G46" s="583"/>
      <c r="H46" s="583"/>
      <c r="I46" s="583"/>
      <c r="J46" s="583"/>
      <c r="K46" s="583"/>
      <c r="L46" s="583"/>
      <c r="M46" s="583"/>
      <c r="N46" s="583"/>
      <c r="O46" s="583"/>
      <c r="P46" s="583"/>
      <c r="Q46" s="583"/>
      <c r="R46" s="583"/>
      <c r="S46" s="583"/>
      <c r="T46" s="583"/>
      <c r="U46" s="583"/>
      <c r="V46" s="583"/>
    </row>
    <row r="47" spans="1:22" x14ac:dyDescent="0.25">
      <c r="A47" s="587"/>
      <c r="B47" s="591" t="s">
        <v>791</v>
      </c>
      <c r="C47" s="591" t="s">
        <v>957</v>
      </c>
    </row>
    <row r="48" spans="1:22" x14ac:dyDescent="0.25">
      <c r="A48" s="587"/>
      <c r="B48" s="591" t="s">
        <v>790</v>
      </c>
      <c r="C48" s="591" t="s">
        <v>958</v>
      </c>
    </row>
    <row r="49" spans="1:22" x14ac:dyDescent="0.25">
      <c r="A49" s="587"/>
      <c r="B49" s="591" t="s">
        <v>246</v>
      </c>
      <c r="C49" s="591" t="s">
        <v>959</v>
      </c>
    </row>
    <row r="50" spans="1:22" x14ac:dyDescent="0.25">
      <c r="A50" s="587"/>
      <c r="B50" s="591" t="s">
        <v>792</v>
      </c>
      <c r="C50" s="591" t="s">
        <v>960</v>
      </c>
    </row>
    <row r="51" spans="1:22" x14ac:dyDescent="0.25">
      <c r="A51" s="587"/>
      <c r="B51" s="591" t="s">
        <v>793</v>
      </c>
      <c r="C51" s="591" t="s">
        <v>957</v>
      </c>
    </row>
    <row r="52" spans="1:22" x14ac:dyDescent="0.25">
      <c r="A52" s="587"/>
      <c r="B52" s="591" t="s">
        <v>795</v>
      </c>
      <c r="C52" s="591" t="s">
        <v>906</v>
      </c>
    </row>
    <row r="53" spans="1:22" x14ac:dyDescent="0.25">
      <c r="A53" s="587"/>
      <c r="B53" s="591" t="s">
        <v>796</v>
      </c>
      <c r="C53" s="591" t="s">
        <v>906</v>
      </c>
    </row>
    <row r="54" spans="1:22" x14ac:dyDescent="0.25">
      <c r="A54" s="587"/>
      <c r="B54" s="591" t="s">
        <v>797</v>
      </c>
      <c r="C54" s="591" t="s">
        <v>906</v>
      </c>
    </row>
    <row r="55" spans="1:22" s="585" customFormat="1" ht="21.75" hidden="1" customHeight="1" x14ac:dyDescent="0.25">
      <c r="A55" s="596">
        <v>8</v>
      </c>
      <c r="B55" s="936" t="s">
        <v>4</v>
      </c>
      <c r="C55" s="937"/>
      <c r="D55" s="584"/>
      <c r="E55" s="584"/>
      <c r="F55" s="584"/>
      <c r="G55" s="584"/>
      <c r="H55" s="584"/>
      <c r="I55" s="584"/>
      <c r="J55" s="584"/>
      <c r="K55" s="584"/>
      <c r="L55" s="584"/>
      <c r="M55" s="584"/>
      <c r="N55" s="584"/>
      <c r="O55" s="584"/>
      <c r="P55" s="584"/>
      <c r="Q55" s="584"/>
      <c r="R55" s="584"/>
      <c r="S55" s="584"/>
      <c r="T55" s="584"/>
      <c r="U55" s="584"/>
      <c r="V55" s="584"/>
    </row>
    <row r="56" spans="1:22" ht="26.25" hidden="1" customHeight="1" x14ac:dyDescent="0.25">
      <c r="A56" s="587"/>
      <c r="B56" s="591" t="s">
        <v>794</v>
      </c>
      <c r="C56" s="591"/>
    </row>
    <row r="57" spans="1:22" s="6" customFormat="1" ht="60.75" hidden="1" x14ac:dyDescent="0.25">
      <c r="A57" s="588">
        <v>8</v>
      </c>
      <c r="B57" s="595" t="s">
        <v>900</v>
      </c>
      <c r="C57" s="594"/>
      <c r="D57" s="583"/>
      <c r="E57" s="583"/>
      <c r="F57" s="583"/>
      <c r="G57" s="583"/>
      <c r="H57" s="583"/>
      <c r="I57" s="583"/>
      <c r="J57" s="583"/>
      <c r="K57" s="583"/>
      <c r="L57" s="583"/>
      <c r="M57" s="583"/>
      <c r="N57" s="583"/>
      <c r="O57" s="583"/>
      <c r="P57" s="583"/>
      <c r="Q57" s="583"/>
      <c r="R57" s="583"/>
      <c r="S57" s="583"/>
      <c r="T57" s="583"/>
      <c r="U57" s="583"/>
      <c r="V57" s="583"/>
    </row>
    <row r="58" spans="1:22" hidden="1" x14ac:dyDescent="0.25">
      <c r="A58" s="587"/>
      <c r="B58" s="591" t="s">
        <v>795</v>
      </c>
      <c r="C58" s="591" t="s">
        <v>906</v>
      </c>
    </row>
    <row r="59" spans="1:22" hidden="1" x14ac:dyDescent="0.25">
      <c r="A59" s="587"/>
      <c r="B59" s="591" t="s">
        <v>796</v>
      </c>
      <c r="C59" s="591" t="s">
        <v>906</v>
      </c>
    </row>
    <row r="60" spans="1:22" hidden="1" x14ac:dyDescent="0.25">
      <c r="A60" s="587"/>
      <c r="B60" s="591" t="s">
        <v>797</v>
      </c>
      <c r="C60" s="591" t="s">
        <v>906</v>
      </c>
    </row>
    <row r="61" spans="1:22" s="6" customFormat="1" x14ac:dyDescent="0.25">
      <c r="A61" s="588">
        <v>8</v>
      </c>
      <c r="B61" s="594" t="s">
        <v>5</v>
      </c>
      <c r="C61" s="591" t="s">
        <v>798</v>
      </c>
      <c r="D61" s="583"/>
      <c r="E61" s="583"/>
      <c r="F61" s="583"/>
      <c r="G61" s="583"/>
      <c r="H61" s="583"/>
      <c r="I61" s="583"/>
      <c r="J61" s="583"/>
      <c r="K61" s="583"/>
      <c r="L61" s="583"/>
      <c r="M61" s="583"/>
      <c r="N61" s="583"/>
      <c r="O61" s="583"/>
      <c r="P61" s="583"/>
      <c r="Q61" s="583"/>
      <c r="R61" s="583"/>
      <c r="S61" s="583"/>
      <c r="T61" s="583"/>
      <c r="U61" s="583"/>
      <c r="V61" s="583"/>
    </row>
    <row r="62" spans="1:22" s="6" customFormat="1" ht="75.75" x14ac:dyDescent="0.25">
      <c r="A62" s="588">
        <v>9</v>
      </c>
      <c r="B62" s="595" t="s">
        <v>905</v>
      </c>
      <c r="C62" s="645" t="s">
        <v>789</v>
      </c>
      <c r="D62" s="583"/>
      <c r="E62" s="583"/>
      <c r="F62" s="583"/>
      <c r="G62" s="583"/>
      <c r="H62" s="583"/>
      <c r="I62" s="583"/>
      <c r="J62" s="583"/>
      <c r="K62" s="583"/>
      <c r="L62" s="583"/>
      <c r="M62" s="583"/>
      <c r="N62" s="583"/>
      <c r="O62" s="583"/>
      <c r="P62" s="583"/>
      <c r="Q62" s="583"/>
      <c r="R62" s="583"/>
      <c r="S62" s="583"/>
      <c r="T62" s="583"/>
      <c r="U62" s="583"/>
      <c r="V62" s="583"/>
    </row>
  </sheetData>
  <mergeCells count="4">
    <mergeCell ref="B5:C5"/>
    <mergeCell ref="A1:C1"/>
    <mergeCell ref="B46:C46"/>
    <mergeCell ref="B55:C55"/>
  </mergeCells>
  <pageMargins left="1.299212598425197" right="0.70866141732283472" top="0.74803149606299213" bottom="0.74803149606299213" header="0.31496062992125984" footer="0.31496062992125984"/>
  <pageSetup paperSize="9" scale="59" orientation="portrait" r:id="rId1"/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M186"/>
  <sheetViews>
    <sheetView topLeftCell="A94" zoomScaleNormal="100" workbookViewId="0">
      <selection activeCell="J109" sqref="J109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938" t="str">
        <f>[1]Калькуляция!A10</f>
        <v>№п\п</v>
      </c>
      <c r="B2" s="939"/>
      <c r="C2" s="939"/>
      <c r="D2" s="251"/>
      <c r="E2" s="251"/>
      <c r="F2" s="251" t="s">
        <v>292</v>
      </c>
      <c r="G2" s="251"/>
      <c r="H2" s="251"/>
      <c r="I2" s="251"/>
    </row>
    <row r="3" spans="1:10" x14ac:dyDescent="0.25">
      <c r="A3" s="940" t="s">
        <v>293</v>
      </c>
      <c r="B3" s="940"/>
      <c r="C3" s="941"/>
      <c r="D3" s="941"/>
      <c r="E3" s="941"/>
      <c r="F3" s="941"/>
      <c r="G3" s="941"/>
      <c r="H3" s="941"/>
      <c r="I3" s="941"/>
    </row>
    <row r="4" spans="1:10" ht="15.75" thickBot="1" x14ac:dyDescent="0.3">
      <c r="A4" s="940" t="s">
        <v>294</v>
      </c>
      <c r="B4" s="940"/>
      <c r="C4" s="941"/>
      <c r="D4" s="941"/>
      <c r="E4" s="941"/>
      <c r="F4" s="941"/>
      <c r="G4" s="941"/>
      <c r="H4" s="941"/>
      <c r="I4" s="941"/>
    </row>
    <row r="5" spans="1:10" x14ac:dyDescent="0.25">
      <c r="A5" s="252"/>
      <c r="B5" s="942" t="s">
        <v>295</v>
      </c>
      <c r="C5" s="943"/>
      <c r="D5" s="943"/>
      <c r="E5" s="944"/>
      <c r="F5" s="945" t="s">
        <v>296</v>
      </c>
      <c r="G5" s="946"/>
      <c r="H5" s="945" t="s">
        <v>212</v>
      </c>
      <c r="I5" s="946"/>
    </row>
    <row r="6" spans="1:10" ht="81" x14ac:dyDescent="0.25">
      <c r="A6" s="253"/>
      <c r="B6" s="254" t="s">
        <v>297</v>
      </c>
      <c r="C6" s="255" t="s">
        <v>298</v>
      </c>
      <c r="D6" s="255" t="s">
        <v>299</v>
      </c>
      <c r="E6" s="256" t="s">
        <v>300</v>
      </c>
      <c r="F6" s="254" t="s">
        <v>301</v>
      </c>
      <c r="G6" s="256" t="s">
        <v>302</v>
      </c>
      <c r="H6" s="254" t="s">
        <v>301</v>
      </c>
      <c r="I6" s="256" t="s">
        <v>303</v>
      </c>
    </row>
    <row r="7" spans="1:10" x14ac:dyDescent="0.25">
      <c r="A7" s="257" t="s">
        <v>304</v>
      </c>
      <c r="B7" s="258">
        <f>I33</f>
        <v>2293.3050000000003</v>
      </c>
      <c r="C7" s="259">
        <f>прибирання!E43</f>
        <v>0.76</v>
      </c>
      <c r="D7" s="260">
        <f t="shared" ref="D7:D13" si="0">B7*C7</f>
        <v>1742.9118000000003</v>
      </c>
      <c r="E7" s="261">
        <f t="shared" ref="E7:E13" si="1">D7/12</f>
        <v>145.24265000000003</v>
      </c>
      <c r="F7" s="646">
        <f>H113+I113+H114+H115</f>
        <v>1167.05105405775</v>
      </c>
      <c r="G7" s="262">
        <f t="shared" ref="G7:G13" si="2">F7/12</f>
        <v>97.254254504812494</v>
      </c>
      <c r="H7" s="258">
        <f t="shared" ref="H7:I13" si="3">D7+F7</f>
        <v>2909.9628540577505</v>
      </c>
      <c r="I7" s="262">
        <f t="shared" si="3"/>
        <v>242.49690450481251</v>
      </c>
      <c r="J7" t="s">
        <v>897</v>
      </c>
    </row>
    <row r="8" spans="1:10" x14ac:dyDescent="0.25">
      <c r="A8" s="257" t="s">
        <v>305</v>
      </c>
      <c r="B8" s="263">
        <f>I33</f>
        <v>2293.3050000000003</v>
      </c>
      <c r="C8" s="264">
        <f>Сніг!E58</f>
        <v>0.15</v>
      </c>
      <c r="D8" s="40">
        <f t="shared" si="0"/>
        <v>343.99575000000004</v>
      </c>
      <c r="E8" s="265">
        <f t="shared" si="1"/>
        <v>28.666312500000004</v>
      </c>
      <c r="F8" s="263">
        <v>0</v>
      </c>
      <c r="G8" s="266">
        <f t="shared" si="2"/>
        <v>0</v>
      </c>
      <c r="H8" s="263">
        <f t="shared" si="3"/>
        <v>343.99575000000004</v>
      </c>
      <c r="I8" s="266">
        <f t="shared" si="3"/>
        <v>28.666312500000004</v>
      </c>
    </row>
    <row r="9" spans="1:10" ht="20.45" customHeight="1" x14ac:dyDescent="0.25">
      <c r="A9" s="267" t="s">
        <v>306</v>
      </c>
      <c r="B9" s="258">
        <f>I41</f>
        <v>707.3599999999999</v>
      </c>
      <c r="C9" s="259">
        <f>'[1]сходові клітки'!D82</f>
        <v>0</v>
      </c>
      <c r="D9" s="260">
        <f>B9*C9</f>
        <v>0</v>
      </c>
      <c r="E9" s="261">
        <f t="shared" si="1"/>
        <v>0</v>
      </c>
      <c r="F9" s="258">
        <f>I160</f>
        <v>0</v>
      </c>
      <c r="G9" s="262">
        <f t="shared" si="2"/>
        <v>0</v>
      </c>
      <c r="H9" s="258">
        <f>D9+F9</f>
        <v>0</v>
      </c>
      <c r="I9" s="262">
        <f t="shared" si="3"/>
        <v>0</v>
      </c>
    </row>
    <row r="10" spans="1:10" x14ac:dyDescent="0.25">
      <c r="A10" s="257" t="s">
        <v>307</v>
      </c>
      <c r="B10" s="258">
        <f>I59</f>
        <v>1628.2266666666665</v>
      </c>
      <c r="C10" s="644">
        <f>'ТО внутріньобудин'!F117</f>
        <v>0.27422147156517357</v>
      </c>
      <c r="D10" s="260">
        <f t="shared" si="0"/>
        <v>446.49471257499061</v>
      </c>
      <c r="E10" s="261">
        <f t="shared" si="1"/>
        <v>37.207892714582549</v>
      </c>
      <c r="F10" s="258">
        <f>[1]Расчет_7!G127</f>
        <v>0</v>
      </c>
      <c r="G10" s="262">
        <f t="shared" si="2"/>
        <v>0</v>
      </c>
      <c r="H10" s="258">
        <f t="shared" si="3"/>
        <v>446.49471257499061</v>
      </c>
      <c r="I10" s="262">
        <f t="shared" si="3"/>
        <v>37.207892714582549</v>
      </c>
    </row>
    <row r="11" spans="1:10" x14ac:dyDescent="0.25">
      <c r="A11" s="257" t="s">
        <v>308</v>
      </c>
      <c r="B11" s="258">
        <f>I74</f>
        <v>1650.1</v>
      </c>
      <c r="C11" s="644">
        <f>'ТО внутріньобудин'!F118</f>
        <v>0.25452440865626574</v>
      </c>
      <c r="D11" s="260">
        <f t="shared" si="0"/>
        <v>419.99072672370409</v>
      </c>
      <c r="E11" s="261">
        <f t="shared" si="1"/>
        <v>34.999227226975343</v>
      </c>
      <c r="F11" s="258">
        <f>I190</f>
        <v>0</v>
      </c>
      <c r="G11" s="262">
        <f t="shared" si="2"/>
        <v>0</v>
      </c>
      <c r="H11" s="258">
        <f t="shared" si="3"/>
        <v>419.99072672370409</v>
      </c>
      <c r="I11" s="262">
        <f t="shared" si="3"/>
        <v>34.999227226975343</v>
      </c>
    </row>
    <row r="12" spans="1:10" ht="15.75" thickBot="1" x14ac:dyDescent="0.3">
      <c r="A12" s="268" t="s">
        <v>309</v>
      </c>
      <c r="B12" s="269">
        <f>I79</f>
        <v>832.3</v>
      </c>
      <c r="C12" s="640">
        <f>прибирання!E44</f>
        <v>1.6448817312531453E-2</v>
      </c>
      <c r="D12" s="270">
        <f t="shared" si="0"/>
        <v>13.690350649219928</v>
      </c>
      <c r="E12" s="271">
        <f t="shared" si="1"/>
        <v>1.1408625541016606</v>
      </c>
      <c r="F12" s="272">
        <v>0</v>
      </c>
      <c r="G12" s="262">
        <f t="shared" si="2"/>
        <v>0</v>
      </c>
      <c r="H12" s="258">
        <f t="shared" si="3"/>
        <v>13.690350649219928</v>
      </c>
      <c r="I12" s="262">
        <f t="shared" si="3"/>
        <v>1.1408625541016606</v>
      </c>
      <c r="J12" t="s">
        <v>897</v>
      </c>
    </row>
    <row r="13" spans="1:10" ht="15.75" thickBot="1" x14ac:dyDescent="0.3">
      <c r="A13" s="273" t="s">
        <v>193</v>
      </c>
      <c r="B13" s="259">
        <f>I88</f>
        <v>2316.1066666666666</v>
      </c>
      <c r="C13" s="647">
        <f>вентканали!E36</f>
        <v>5.1999999999999998E-2</v>
      </c>
      <c r="D13" s="270">
        <f t="shared" si="0"/>
        <v>120.43754666666666</v>
      </c>
      <c r="E13" s="271">
        <f t="shared" si="1"/>
        <v>10.036462222222221</v>
      </c>
      <c r="F13" s="274">
        <v>0</v>
      </c>
      <c r="G13" s="275">
        <f t="shared" si="2"/>
        <v>0</v>
      </c>
      <c r="H13" s="276">
        <f t="shared" si="3"/>
        <v>120.43754666666666</v>
      </c>
      <c r="I13" s="275">
        <f t="shared" si="3"/>
        <v>10.036462222222221</v>
      </c>
    </row>
    <row r="14" spans="1:10" ht="15.75" thickBot="1" x14ac:dyDescent="0.3">
      <c r="A14" s="949" t="s">
        <v>212</v>
      </c>
      <c r="B14" s="950"/>
      <c r="C14" s="951"/>
      <c r="D14" s="277">
        <f>SUM(D7:D12)</f>
        <v>2967.0833399479147</v>
      </c>
      <c r="E14" s="278">
        <f>SUM(E7:E12)</f>
        <v>247.25694499565958</v>
      </c>
      <c r="F14" s="279">
        <f>SUM(F7:F13)</f>
        <v>1167.05105405775</v>
      </c>
      <c r="G14" s="280">
        <f>SUM(G7:G13)</f>
        <v>97.254254504812494</v>
      </c>
      <c r="H14" s="281">
        <f>SUM(H7:H13)</f>
        <v>4254.5719406723319</v>
      </c>
      <c r="I14" s="280">
        <f>SUM(I7:I13)</f>
        <v>354.54766172269427</v>
      </c>
    </row>
    <row r="15" spans="1:10" x14ac:dyDescent="0.25">
      <c r="A15" s="952" t="s">
        <v>310</v>
      </c>
      <c r="B15" s="953"/>
      <c r="C15" s="954"/>
      <c r="D15" s="282"/>
      <c r="E15" s="282"/>
      <c r="F15" s="283"/>
      <c r="G15" s="282"/>
      <c r="H15" s="283"/>
      <c r="I15" s="132"/>
    </row>
    <row r="16" spans="1:10" x14ac:dyDescent="0.25">
      <c r="A16" s="955" t="s">
        <v>311</v>
      </c>
      <c r="B16" s="956"/>
      <c r="C16" s="957"/>
      <c r="D16" s="282"/>
      <c r="E16" s="282"/>
      <c r="F16" s="283"/>
      <c r="G16" s="282"/>
      <c r="H16" s="283"/>
      <c r="I16" s="132"/>
    </row>
    <row r="17" spans="1:9" ht="15.75" thickBot="1" x14ac:dyDescent="0.3">
      <c r="A17" s="958" t="s">
        <v>312</v>
      </c>
      <c r="B17" s="958"/>
      <c r="C17" s="959"/>
      <c r="D17" s="959"/>
      <c r="E17" s="959"/>
      <c r="F17" s="959"/>
      <c r="G17" s="959"/>
      <c r="H17" s="959"/>
      <c r="I17" s="959"/>
    </row>
    <row r="18" spans="1:9" ht="68.25" thickBot="1" x14ac:dyDescent="0.3">
      <c r="A18" s="284" t="s">
        <v>313</v>
      </c>
      <c r="B18" s="960" t="s">
        <v>314</v>
      </c>
      <c r="C18" s="961"/>
      <c r="D18" s="284" t="s">
        <v>315</v>
      </c>
      <c r="E18" s="284" t="s">
        <v>316</v>
      </c>
      <c r="F18" s="284" t="s">
        <v>317</v>
      </c>
      <c r="G18" s="284" t="s">
        <v>318</v>
      </c>
      <c r="H18" s="285" t="s">
        <v>319</v>
      </c>
      <c r="I18" s="284" t="s">
        <v>320</v>
      </c>
    </row>
    <row r="19" spans="1:9" x14ac:dyDescent="0.25">
      <c r="A19" s="962" t="s">
        <v>188</v>
      </c>
      <c r="B19" s="964" t="s">
        <v>321</v>
      </c>
      <c r="C19" s="965"/>
      <c r="D19" s="286">
        <v>12</v>
      </c>
      <c r="E19" s="286" t="s">
        <v>159</v>
      </c>
      <c r="F19" s="287">
        <v>46.01</v>
      </c>
      <c r="G19" s="286">
        <v>12</v>
      </c>
      <c r="H19" s="287">
        <f t="shared" ref="H19:H32" si="4">12/G19*D19</f>
        <v>12</v>
      </c>
      <c r="I19" s="288">
        <f t="shared" ref="I19:I32" si="5">F19*H19</f>
        <v>552.12</v>
      </c>
    </row>
    <row r="20" spans="1:9" x14ac:dyDescent="0.25">
      <c r="A20" s="962"/>
      <c r="B20" s="947" t="s">
        <v>323</v>
      </c>
      <c r="C20" s="948"/>
      <c r="D20" s="289">
        <v>1</v>
      </c>
      <c r="E20" s="289" t="s">
        <v>159</v>
      </c>
      <c r="F20" s="264">
        <v>74</v>
      </c>
      <c r="G20" s="289">
        <v>12</v>
      </c>
      <c r="H20" s="264">
        <f t="shared" si="4"/>
        <v>1</v>
      </c>
      <c r="I20" s="266">
        <f t="shared" si="5"/>
        <v>74</v>
      </c>
    </row>
    <row r="21" spans="1:9" x14ac:dyDescent="0.25">
      <c r="A21" s="962"/>
      <c r="B21" s="947" t="s">
        <v>324</v>
      </c>
      <c r="C21" s="948"/>
      <c r="D21" s="289">
        <v>1</v>
      </c>
      <c r="E21" s="289" t="s">
        <v>159</v>
      </c>
      <c r="F21" s="264">
        <v>48.12</v>
      </c>
      <c r="G21" s="289">
        <v>12</v>
      </c>
      <c r="H21" s="264">
        <f t="shared" si="4"/>
        <v>1</v>
      </c>
      <c r="I21" s="266">
        <f t="shared" si="5"/>
        <v>48.12</v>
      </c>
    </row>
    <row r="22" spans="1:9" x14ac:dyDescent="0.25">
      <c r="A22" s="962"/>
      <c r="B22" s="947" t="s">
        <v>325</v>
      </c>
      <c r="C22" s="948"/>
      <c r="D22" s="289">
        <v>1</v>
      </c>
      <c r="E22" s="289" t="s">
        <v>159</v>
      </c>
      <c r="F22" s="264">
        <v>44.82</v>
      </c>
      <c r="G22" s="289">
        <v>12</v>
      </c>
      <c r="H22" s="264">
        <f t="shared" si="4"/>
        <v>1</v>
      </c>
      <c r="I22" s="266">
        <f t="shared" si="5"/>
        <v>44.82</v>
      </c>
    </row>
    <row r="23" spans="1:9" x14ac:dyDescent="0.25">
      <c r="A23" s="962"/>
      <c r="B23" s="947" t="s">
        <v>326</v>
      </c>
      <c r="C23" s="948"/>
      <c r="D23" s="289">
        <v>12</v>
      </c>
      <c r="E23" s="289" t="s">
        <v>159</v>
      </c>
      <c r="F23" s="264">
        <v>54.81</v>
      </c>
      <c r="G23" s="289">
        <v>12</v>
      </c>
      <c r="H23" s="264">
        <f t="shared" si="4"/>
        <v>12</v>
      </c>
      <c r="I23" s="266">
        <f t="shared" si="5"/>
        <v>657.72</v>
      </c>
    </row>
    <row r="24" spans="1:9" x14ac:dyDescent="0.25">
      <c r="A24" s="962"/>
      <c r="B24" s="947" t="s">
        <v>468</v>
      </c>
      <c r="C24" s="948"/>
      <c r="D24" s="290">
        <v>1</v>
      </c>
      <c r="E24" s="289" t="s">
        <v>159</v>
      </c>
      <c r="F24" s="291">
        <v>70.83</v>
      </c>
      <c r="G24" s="290">
        <v>36</v>
      </c>
      <c r="H24" s="264">
        <f t="shared" si="4"/>
        <v>0.33333333333333331</v>
      </c>
      <c r="I24" s="292">
        <f t="shared" si="5"/>
        <v>23.61</v>
      </c>
    </row>
    <row r="25" spans="1:9" x14ac:dyDescent="0.25">
      <c r="A25" s="962"/>
      <c r="B25" s="947" t="s">
        <v>749</v>
      </c>
      <c r="C25" s="948"/>
      <c r="D25" s="289">
        <v>1</v>
      </c>
      <c r="E25" s="289" t="s">
        <v>328</v>
      </c>
      <c r="F25" s="264">
        <v>10.37</v>
      </c>
      <c r="G25" s="290">
        <v>1</v>
      </c>
      <c r="H25" s="264">
        <f t="shared" si="4"/>
        <v>12</v>
      </c>
      <c r="I25" s="266">
        <f t="shared" si="5"/>
        <v>124.44</v>
      </c>
    </row>
    <row r="26" spans="1:9" x14ac:dyDescent="0.25">
      <c r="A26" s="962"/>
      <c r="B26" s="947" t="s">
        <v>329</v>
      </c>
      <c r="C26" s="948"/>
      <c r="D26" s="289">
        <v>1</v>
      </c>
      <c r="E26" s="289" t="s">
        <v>328</v>
      </c>
      <c r="F26" s="264">
        <v>12.5</v>
      </c>
      <c r="G26" s="290">
        <v>6</v>
      </c>
      <c r="H26" s="264">
        <f t="shared" si="4"/>
        <v>2</v>
      </c>
      <c r="I26" s="266">
        <f t="shared" si="5"/>
        <v>25</v>
      </c>
    </row>
    <row r="27" spans="1:9" x14ac:dyDescent="0.25">
      <c r="A27" s="962"/>
      <c r="B27" s="947" t="s">
        <v>330</v>
      </c>
      <c r="C27" s="948"/>
      <c r="D27" s="289">
        <v>1</v>
      </c>
      <c r="E27" s="289" t="s">
        <v>159</v>
      </c>
      <c r="F27" s="264">
        <v>214.05</v>
      </c>
      <c r="G27" s="290">
        <v>12</v>
      </c>
      <c r="H27" s="264">
        <f t="shared" si="4"/>
        <v>1</v>
      </c>
      <c r="I27" s="266">
        <f t="shared" si="5"/>
        <v>214.05</v>
      </c>
    </row>
    <row r="28" spans="1:9" x14ac:dyDescent="0.25">
      <c r="A28" s="962"/>
      <c r="B28" s="947" t="s">
        <v>469</v>
      </c>
      <c r="C28" s="948"/>
      <c r="D28" s="289">
        <v>1</v>
      </c>
      <c r="E28" s="289" t="s">
        <v>328</v>
      </c>
      <c r="F28" s="264">
        <v>157.12</v>
      </c>
      <c r="G28" s="290">
        <v>12</v>
      </c>
      <c r="H28" s="264">
        <f t="shared" si="4"/>
        <v>1</v>
      </c>
      <c r="I28" s="266">
        <f t="shared" si="5"/>
        <v>157.12</v>
      </c>
    </row>
    <row r="29" spans="1:9" x14ac:dyDescent="0.25">
      <c r="A29" s="962"/>
      <c r="B29" s="947" t="s">
        <v>331</v>
      </c>
      <c r="C29" s="948"/>
      <c r="D29" s="289">
        <v>1</v>
      </c>
      <c r="E29" s="289" t="s">
        <v>159</v>
      </c>
      <c r="F29" s="264">
        <v>50.25</v>
      </c>
      <c r="G29" s="290">
        <v>12</v>
      </c>
      <c r="H29" s="264">
        <f t="shared" si="4"/>
        <v>1</v>
      </c>
      <c r="I29" s="266">
        <f t="shared" si="5"/>
        <v>50.25</v>
      </c>
    </row>
    <row r="30" spans="1:9" x14ac:dyDescent="0.25">
      <c r="A30" s="962"/>
      <c r="B30" s="947" t="s">
        <v>332</v>
      </c>
      <c r="C30" s="948"/>
      <c r="D30" s="289">
        <v>1</v>
      </c>
      <c r="E30" s="289" t="s">
        <v>159</v>
      </c>
      <c r="F30" s="264">
        <v>55.25</v>
      </c>
      <c r="G30" s="290">
        <v>12</v>
      </c>
      <c r="H30" s="264">
        <f t="shared" si="4"/>
        <v>1</v>
      </c>
      <c r="I30" s="266">
        <f t="shared" si="5"/>
        <v>55.25</v>
      </c>
    </row>
    <row r="31" spans="1:9" x14ac:dyDescent="0.25">
      <c r="A31" s="962"/>
      <c r="B31" s="947" t="s">
        <v>470</v>
      </c>
      <c r="C31" s="948"/>
      <c r="D31" s="355">
        <v>1</v>
      </c>
      <c r="E31" s="355" t="s">
        <v>159</v>
      </c>
      <c r="F31" s="356">
        <v>5.57</v>
      </c>
      <c r="G31" s="289">
        <v>1</v>
      </c>
      <c r="H31" s="356">
        <f t="shared" si="4"/>
        <v>12</v>
      </c>
      <c r="I31" s="358">
        <f t="shared" si="5"/>
        <v>66.84</v>
      </c>
    </row>
    <row r="32" spans="1:9" ht="15.75" thickBot="1" x14ac:dyDescent="0.3">
      <c r="A32" s="962"/>
      <c r="B32" s="966" t="s">
        <v>333</v>
      </c>
      <c r="C32" s="967"/>
      <c r="D32" s="293">
        <v>1</v>
      </c>
      <c r="E32" s="293" t="s">
        <v>159</v>
      </c>
      <c r="F32" s="294">
        <v>399.93</v>
      </c>
      <c r="G32" s="289">
        <v>24</v>
      </c>
      <c r="H32" s="294">
        <f t="shared" si="4"/>
        <v>0.5</v>
      </c>
      <c r="I32" s="295">
        <f t="shared" si="5"/>
        <v>199.965</v>
      </c>
    </row>
    <row r="33" spans="1:9" ht="15.75" thickBot="1" x14ac:dyDescent="0.3">
      <c r="A33" s="963"/>
      <c r="B33" s="968" t="s">
        <v>334</v>
      </c>
      <c r="C33" s="969"/>
      <c r="D33" s="969"/>
      <c r="E33" s="969"/>
      <c r="F33" s="969"/>
      <c r="G33" s="970"/>
      <c r="H33" s="971"/>
      <c r="I33" s="296">
        <f>SUM(I19:I32)</f>
        <v>2293.3050000000003</v>
      </c>
    </row>
    <row r="34" spans="1:9" x14ac:dyDescent="0.25">
      <c r="A34" s="972" t="s">
        <v>335</v>
      </c>
      <c r="B34" s="964" t="s">
        <v>324</v>
      </c>
      <c r="C34" s="965"/>
      <c r="D34" s="286">
        <v>1</v>
      </c>
      <c r="E34" s="286" t="s">
        <v>159</v>
      </c>
      <c r="F34" s="287">
        <v>48.12</v>
      </c>
      <c r="G34" s="286">
        <v>12</v>
      </c>
      <c r="H34" s="287">
        <f t="shared" ref="H34:H40" si="6">12/G34*D34</f>
        <v>1</v>
      </c>
      <c r="I34" s="288">
        <f t="shared" ref="I34:I40" si="7">F34*H34</f>
        <v>48.12</v>
      </c>
    </row>
    <row r="35" spans="1:9" x14ac:dyDescent="0.25">
      <c r="A35" s="962"/>
      <c r="B35" s="947" t="s">
        <v>336</v>
      </c>
      <c r="C35" s="948"/>
      <c r="D35" s="289">
        <v>1</v>
      </c>
      <c r="E35" s="289" t="s">
        <v>159</v>
      </c>
      <c r="F35" s="264">
        <v>56</v>
      </c>
      <c r="G35" s="289">
        <v>12</v>
      </c>
      <c r="H35" s="264">
        <f t="shared" si="6"/>
        <v>1</v>
      </c>
      <c r="I35" s="266">
        <f t="shared" si="7"/>
        <v>56</v>
      </c>
    </row>
    <row r="36" spans="1:9" x14ac:dyDescent="0.25">
      <c r="A36" s="962"/>
      <c r="B36" s="947" t="s">
        <v>322</v>
      </c>
      <c r="C36" s="948"/>
      <c r="D36" s="289">
        <v>1</v>
      </c>
      <c r="E36" s="289" t="s">
        <v>159</v>
      </c>
      <c r="F36" s="264">
        <v>23</v>
      </c>
      <c r="G36" s="289">
        <v>12</v>
      </c>
      <c r="H36" s="264">
        <f t="shared" si="6"/>
        <v>1</v>
      </c>
      <c r="I36" s="266">
        <f t="shared" si="7"/>
        <v>23</v>
      </c>
    </row>
    <row r="37" spans="1:9" ht="15.75" thickBot="1" x14ac:dyDescent="0.3">
      <c r="A37" s="962"/>
      <c r="B37" s="966" t="s">
        <v>321</v>
      </c>
      <c r="C37" s="967"/>
      <c r="D37" s="293">
        <v>1</v>
      </c>
      <c r="E37" s="293" t="s">
        <v>159</v>
      </c>
      <c r="F37" s="294">
        <v>46.01</v>
      </c>
      <c r="G37" s="293">
        <v>12</v>
      </c>
      <c r="H37" s="294">
        <f t="shared" si="6"/>
        <v>1</v>
      </c>
      <c r="I37" s="295">
        <f t="shared" si="7"/>
        <v>46.01</v>
      </c>
    </row>
    <row r="38" spans="1:9" x14ac:dyDescent="0.25">
      <c r="A38" s="962"/>
      <c r="B38" s="964" t="s">
        <v>337</v>
      </c>
      <c r="C38" s="965"/>
      <c r="D38" s="286">
        <v>1</v>
      </c>
      <c r="E38" s="286" t="s">
        <v>159</v>
      </c>
      <c r="F38" s="287">
        <v>174.95</v>
      </c>
      <c r="G38" s="286">
        <v>12</v>
      </c>
      <c r="H38" s="287">
        <f t="shared" si="6"/>
        <v>1</v>
      </c>
      <c r="I38" s="288">
        <f t="shared" si="7"/>
        <v>174.95</v>
      </c>
    </row>
    <row r="39" spans="1:9" x14ac:dyDescent="0.25">
      <c r="A39" s="962"/>
      <c r="B39" s="947" t="s">
        <v>338</v>
      </c>
      <c r="C39" s="948"/>
      <c r="D39" s="290">
        <v>1</v>
      </c>
      <c r="E39" s="290" t="s">
        <v>159</v>
      </c>
      <c r="F39" s="291">
        <v>321.77999999999997</v>
      </c>
      <c r="G39" s="290">
        <v>12</v>
      </c>
      <c r="H39" s="264">
        <f t="shared" si="6"/>
        <v>1</v>
      </c>
      <c r="I39" s="266">
        <f t="shared" si="7"/>
        <v>321.77999999999997</v>
      </c>
    </row>
    <row r="40" spans="1:9" ht="15.75" thickBot="1" x14ac:dyDescent="0.3">
      <c r="A40" s="962"/>
      <c r="B40" s="966" t="s">
        <v>329</v>
      </c>
      <c r="C40" s="967"/>
      <c r="D40" s="293">
        <v>1</v>
      </c>
      <c r="E40" s="293" t="s">
        <v>159</v>
      </c>
      <c r="F40" s="294">
        <v>12.5</v>
      </c>
      <c r="G40" s="293">
        <v>4</v>
      </c>
      <c r="H40" s="294">
        <f t="shared" si="6"/>
        <v>3</v>
      </c>
      <c r="I40" s="574">
        <f t="shared" si="7"/>
        <v>37.5</v>
      </c>
    </row>
    <row r="41" spans="1:9" ht="15.75" thickBot="1" x14ac:dyDescent="0.3">
      <c r="A41" s="963"/>
      <c r="B41" s="973" t="s">
        <v>334</v>
      </c>
      <c r="C41" s="974"/>
      <c r="D41" s="974"/>
      <c r="E41" s="974"/>
      <c r="F41" s="974"/>
      <c r="G41" s="974"/>
      <c r="H41" s="975"/>
      <c r="I41" s="575">
        <f>SUM(I34:I40)</f>
        <v>707.3599999999999</v>
      </c>
    </row>
    <row r="42" spans="1:9" ht="68.25" thickBot="1" x14ac:dyDescent="0.3">
      <c r="A42" s="284" t="s">
        <v>313</v>
      </c>
      <c r="B42" s="960" t="s">
        <v>314</v>
      </c>
      <c r="C42" s="976"/>
      <c r="D42" s="284" t="s">
        <v>315</v>
      </c>
      <c r="E42" s="284" t="s">
        <v>316</v>
      </c>
      <c r="F42" s="284" t="s">
        <v>317</v>
      </c>
      <c r="G42" s="284" t="s">
        <v>318</v>
      </c>
      <c r="H42" s="285" t="s">
        <v>319</v>
      </c>
      <c r="I42" s="284" t="s">
        <v>320</v>
      </c>
    </row>
    <row r="43" spans="1:9" x14ac:dyDescent="0.25">
      <c r="A43" s="977" t="s">
        <v>191</v>
      </c>
      <c r="B43" s="964" t="s">
        <v>339</v>
      </c>
      <c r="C43" s="965"/>
      <c r="D43" s="286">
        <v>1</v>
      </c>
      <c r="E43" s="286" t="s">
        <v>159</v>
      </c>
      <c r="F43" s="287">
        <v>162.5</v>
      </c>
      <c r="G43" s="286">
        <v>36</v>
      </c>
      <c r="H43" s="287">
        <f t="shared" ref="H43:H58" si="8">12/G43*D43</f>
        <v>0.33333333333333331</v>
      </c>
      <c r="I43" s="288">
        <f t="shared" ref="I43:I58" si="9">F43*H43</f>
        <v>54.166666666666664</v>
      </c>
    </row>
    <row r="44" spans="1:9" x14ac:dyDescent="0.25">
      <c r="A44" s="978"/>
      <c r="B44" s="947" t="s">
        <v>340</v>
      </c>
      <c r="C44" s="948"/>
      <c r="D44" s="289">
        <v>1</v>
      </c>
      <c r="E44" s="289" t="s">
        <v>159</v>
      </c>
      <c r="F44" s="264">
        <v>232.5</v>
      </c>
      <c r="G44" s="289">
        <v>36</v>
      </c>
      <c r="H44" s="264">
        <f t="shared" si="8"/>
        <v>0.33333333333333331</v>
      </c>
      <c r="I44" s="292">
        <f t="shared" si="9"/>
        <v>77.5</v>
      </c>
    </row>
    <row r="45" spans="1:9" x14ac:dyDescent="0.25">
      <c r="A45" s="978"/>
      <c r="B45" s="947" t="s">
        <v>341</v>
      </c>
      <c r="C45" s="948"/>
      <c r="D45" s="289">
        <v>1</v>
      </c>
      <c r="E45" s="289" t="s">
        <v>159</v>
      </c>
      <c r="F45" s="264">
        <v>193</v>
      </c>
      <c r="G45" s="289">
        <v>36</v>
      </c>
      <c r="H45" s="264">
        <f t="shared" si="8"/>
        <v>0.33333333333333331</v>
      </c>
      <c r="I45" s="292">
        <f t="shared" si="9"/>
        <v>64.333333333333329</v>
      </c>
    </row>
    <row r="46" spans="1:9" ht="21.6" customHeight="1" x14ac:dyDescent="0.25">
      <c r="A46" s="978"/>
      <c r="B46" s="980" t="s">
        <v>342</v>
      </c>
      <c r="C46" s="981"/>
      <c r="D46" s="289">
        <v>1</v>
      </c>
      <c r="E46" s="289" t="s">
        <v>159</v>
      </c>
      <c r="F46" s="264">
        <v>167</v>
      </c>
      <c r="G46" s="289">
        <v>36</v>
      </c>
      <c r="H46" s="264">
        <f t="shared" si="8"/>
        <v>0.33333333333333331</v>
      </c>
      <c r="I46" s="292">
        <f t="shared" si="9"/>
        <v>55.666666666666664</v>
      </c>
    </row>
    <row r="47" spans="1:9" x14ac:dyDescent="0.25">
      <c r="A47" s="978"/>
      <c r="B47" s="947" t="s">
        <v>343</v>
      </c>
      <c r="C47" s="948"/>
      <c r="D47" s="289">
        <v>1</v>
      </c>
      <c r="E47" s="289" t="s">
        <v>159</v>
      </c>
      <c r="F47" s="264">
        <v>129</v>
      </c>
      <c r="G47" s="289">
        <v>36</v>
      </c>
      <c r="H47" s="264">
        <f t="shared" si="8"/>
        <v>0.33333333333333331</v>
      </c>
      <c r="I47" s="292">
        <f t="shared" si="9"/>
        <v>43</v>
      </c>
    </row>
    <row r="48" spans="1:9" x14ac:dyDescent="0.25">
      <c r="A48" s="978"/>
      <c r="B48" s="947" t="s">
        <v>344</v>
      </c>
      <c r="C48" s="948"/>
      <c r="D48" s="289">
        <v>1</v>
      </c>
      <c r="E48" s="289" t="s">
        <v>159</v>
      </c>
      <c r="F48" s="264">
        <v>79</v>
      </c>
      <c r="G48" s="289">
        <v>36</v>
      </c>
      <c r="H48" s="264">
        <f t="shared" si="8"/>
        <v>0.33333333333333331</v>
      </c>
      <c r="I48" s="292">
        <f t="shared" si="9"/>
        <v>26.333333333333332</v>
      </c>
    </row>
    <row r="49" spans="1:9" x14ac:dyDescent="0.25">
      <c r="A49" s="978"/>
      <c r="B49" s="947" t="s">
        <v>345</v>
      </c>
      <c r="C49" s="948"/>
      <c r="D49" s="289">
        <v>1</v>
      </c>
      <c r="E49" s="289" t="s">
        <v>159</v>
      </c>
      <c r="F49" s="264">
        <v>182</v>
      </c>
      <c r="G49" s="289">
        <v>36</v>
      </c>
      <c r="H49" s="264">
        <f t="shared" si="8"/>
        <v>0.33333333333333331</v>
      </c>
      <c r="I49" s="292">
        <f t="shared" si="9"/>
        <v>60.666666666666664</v>
      </c>
    </row>
    <row r="50" spans="1:9" x14ac:dyDescent="0.25">
      <c r="A50" s="978"/>
      <c r="B50" s="947" t="s">
        <v>346</v>
      </c>
      <c r="C50" s="948"/>
      <c r="D50" s="289">
        <v>1</v>
      </c>
      <c r="E50" s="289" t="s">
        <v>159</v>
      </c>
      <c r="F50" s="264">
        <v>37</v>
      </c>
      <c r="G50" s="289">
        <v>36</v>
      </c>
      <c r="H50" s="264">
        <f t="shared" si="8"/>
        <v>0.33333333333333331</v>
      </c>
      <c r="I50" s="292">
        <f t="shared" si="9"/>
        <v>12.333333333333332</v>
      </c>
    </row>
    <row r="51" spans="1:9" ht="15.75" thickBot="1" x14ac:dyDescent="0.3">
      <c r="A51" s="978"/>
      <c r="B51" s="966" t="s">
        <v>347</v>
      </c>
      <c r="C51" s="967"/>
      <c r="D51" s="293">
        <v>1</v>
      </c>
      <c r="E51" s="293" t="s">
        <v>159</v>
      </c>
      <c r="F51" s="294">
        <v>78</v>
      </c>
      <c r="G51" s="293">
        <v>36</v>
      </c>
      <c r="H51" s="294">
        <f t="shared" si="8"/>
        <v>0.33333333333333331</v>
      </c>
      <c r="I51" s="574">
        <f t="shared" si="9"/>
        <v>26</v>
      </c>
    </row>
    <row r="52" spans="1:9" x14ac:dyDescent="0.25">
      <c r="A52" s="978"/>
      <c r="B52" s="964" t="s">
        <v>348</v>
      </c>
      <c r="C52" s="965"/>
      <c r="D52" s="290">
        <v>1</v>
      </c>
      <c r="E52" s="290" t="s">
        <v>159</v>
      </c>
      <c r="F52" s="291">
        <v>491.1</v>
      </c>
      <c r="G52" s="290">
        <v>12</v>
      </c>
      <c r="H52" s="291">
        <f t="shared" si="8"/>
        <v>1</v>
      </c>
      <c r="I52" s="292">
        <f t="shared" si="9"/>
        <v>491.1</v>
      </c>
    </row>
    <row r="53" spans="1:9" x14ac:dyDescent="0.25">
      <c r="A53" s="978"/>
      <c r="B53" s="947" t="s">
        <v>338</v>
      </c>
      <c r="C53" s="948"/>
      <c r="D53" s="289">
        <v>1</v>
      </c>
      <c r="E53" s="289" t="s">
        <v>328</v>
      </c>
      <c r="F53" s="264">
        <v>321.77999999999997</v>
      </c>
      <c r="G53" s="289">
        <v>12</v>
      </c>
      <c r="H53" s="264">
        <f t="shared" si="8"/>
        <v>1</v>
      </c>
      <c r="I53" s="292">
        <f t="shared" si="9"/>
        <v>321.77999999999997</v>
      </c>
    </row>
    <row r="54" spans="1:9" x14ac:dyDescent="0.25">
      <c r="A54" s="978"/>
      <c r="B54" s="947" t="s">
        <v>327</v>
      </c>
      <c r="C54" s="948"/>
      <c r="D54" s="289">
        <v>1</v>
      </c>
      <c r="E54" s="289" t="s">
        <v>328</v>
      </c>
      <c r="F54" s="264">
        <v>11.75</v>
      </c>
      <c r="G54" s="289">
        <v>2</v>
      </c>
      <c r="H54" s="264">
        <f t="shared" si="8"/>
        <v>6</v>
      </c>
      <c r="I54" s="292">
        <f t="shared" si="9"/>
        <v>70.5</v>
      </c>
    </row>
    <row r="55" spans="1:9" x14ac:dyDescent="0.25">
      <c r="A55" s="978"/>
      <c r="B55" s="947" t="s">
        <v>349</v>
      </c>
      <c r="C55" s="948"/>
      <c r="D55" s="289">
        <v>1</v>
      </c>
      <c r="E55" s="289" t="s">
        <v>159</v>
      </c>
      <c r="F55" s="264">
        <v>38.01</v>
      </c>
      <c r="G55" s="289">
        <v>12</v>
      </c>
      <c r="H55" s="264">
        <f t="shared" si="8"/>
        <v>1</v>
      </c>
      <c r="I55" s="292">
        <f t="shared" si="9"/>
        <v>38.01</v>
      </c>
    </row>
    <row r="56" spans="1:9" x14ac:dyDescent="0.25">
      <c r="A56" s="978"/>
      <c r="B56" s="947" t="s">
        <v>350</v>
      </c>
      <c r="C56" s="948"/>
      <c r="D56" s="289">
        <v>1</v>
      </c>
      <c r="E56" s="289" t="s">
        <v>328</v>
      </c>
      <c r="F56" s="264">
        <v>157.72</v>
      </c>
      <c r="G56" s="289">
        <v>24</v>
      </c>
      <c r="H56" s="264">
        <f t="shared" si="8"/>
        <v>0.5</v>
      </c>
      <c r="I56" s="292">
        <f t="shared" si="9"/>
        <v>78.86</v>
      </c>
    </row>
    <row r="57" spans="1:9" x14ac:dyDescent="0.25">
      <c r="A57" s="978"/>
      <c r="B57" s="947" t="s">
        <v>351</v>
      </c>
      <c r="C57" s="948"/>
      <c r="D57" s="289">
        <v>1</v>
      </c>
      <c r="E57" s="289" t="s">
        <v>159</v>
      </c>
      <c r="F57" s="264">
        <v>399.93</v>
      </c>
      <c r="G57" s="289">
        <v>36</v>
      </c>
      <c r="H57" s="264">
        <f t="shared" si="8"/>
        <v>0.33333333333333331</v>
      </c>
      <c r="I57" s="292">
        <f t="shared" si="9"/>
        <v>133.31</v>
      </c>
    </row>
    <row r="58" spans="1:9" ht="15.75" thickBot="1" x14ac:dyDescent="0.3">
      <c r="A58" s="978"/>
      <c r="B58" s="982" t="s">
        <v>352</v>
      </c>
      <c r="C58" s="983"/>
      <c r="D58" s="357">
        <v>1</v>
      </c>
      <c r="E58" s="357" t="s">
        <v>159</v>
      </c>
      <c r="F58" s="576">
        <v>224</v>
      </c>
      <c r="G58" s="357">
        <v>36</v>
      </c>
      <c r="H58" s="356">
        <f t="shared" si="8"/>
        <v>0.33333333333333331</v>
      </c>
      <c r="I58" s="292">
        <f t="shared" si="9"/>
        <v>74.666666666666657</v>
      </c>
    </row>
    <row r="59" spans="1:9" ht="15.75" thickBot="1" x14ac:dyDescent="0.3">
      <c r="A59" s="979"/>
      <c r="B59" s="973" t="s">
        <v>334</v>
      </c>
      <c r="C59" s="974"/>
      <c r="D59" s="974"/>
      <c r="E59" s="974"/>
      <c r="F59" s="974"/>
      <c r="G59" s="974"/>
      <c r="H59" s="975"/>
      <c r="I59" s="577">
        <f>SUM(I43:I58)</f>
        <v>1628.2266666666665</v>
      </c>
    </row>
    <row r="60" spans="1:9" x14ac:dyDescent="0.25">
      <c r="A60" s="972" t="s">
        <v>308</v>
      </c>
      <c r="B60" s="996" t="s">
        <v>353</v>
      </c>
      <c r="C60" s="997"/>
      <c r="D60" s="619">
        <v>1</v>
      </c>
      <c r="E60" s="619" t="s">
        <v>159</v>
      </c>
      <c r="F60" s="620">
        <v>70.83</v>
      </c>
      <c r="G60" s="619">
        <v>36</v>
      </c>
      <c r="H60" s="620">
        <f t="shared" ref="H60:H73" si="10">12/G60*D60</f>
        <v>0.33333333333333331</v>
      </c>
      <c r="I60" s="621">
        <f t="shared" ref="I60:I73" si="11">F60*H60</f>
        <v>23.61</v>
      </c>
    </row>
    <row r="61" spans="1:9" x14ac:dyDescent="0.25">
      <c r="A61" s="962"/>
      <c r="B61" s="991" t="s">
        <v>354</v>
      </c>
      <c r="C61" s="992"/>
      <c r="D61" s="622">
        <v>1</v>
      </c>
      <c r="E61" s="622" t="s">
        <v>159</v>
      </c>
      <c r="F61" s="623">
        <v>175</v>
      </c>
      <c r="G61" s="622">
        <v>36</v>
      </c>
      <c r="H61" s="623">
        <f t="shared" si="10"/>
        <v>0.33333333333333331</v>
      </c>
      <c r="I61" s="624">
        <f t="shared" si="11"/>
        <v>58.333333333333329</v>
      </c>
    </row>
    <row r="62" spans="1:9" x14ac:dyDescent="0.25">
      <c r="A62" s="962"/>
      <c r="B62" s="991" t="s">
        <v>355</v>
      </c>
      <c r="C62" s="992"/>
      <c r="D62" s="622">
        <v>1</v>
      </c>
      <c r="E62" s="622" t="s">
        <v>159</v>
      </c>
      <c r="F62" s="623">
        <v>57.5</v>
      </c>
      <c r="G62" s="622">
        <v>36</v>
      </c>
      <c r="H62" s="623">
        <f t="shared" si="10"/>
        <v>0.33333333333333331</v>
      </c>
      <c r="I62" s="624">
        <f t="shared" si="11"/>
        <v>19.166666666666664</v>
      </c>
    </row>
    <row r="63" spans="1:9" x14ac:dyDescent="0.25">
      <c r="A63" s="962"/>
      <c r="B63" s="991" t="s">
        <v>356</v>
      </c>
      <c r="C63" s="992"/>
      <c r="D63" s="622">
        <v>1</v>
      </c>
      <c r="E63" s="622" t="s">
        <v>159</v>
      </c>
      <c r="F63" s="623">
        <v>42</v>
      </c>
      <c r="G63" s="622">
        <v>36</v>
      </c>
      <c r="H63" s="623">
        <f t="shared" si="10"/>
        <v>0.33333333333333331</v>
      </c>
      <c r="I63" s="624">
        <f t="shared" si="11"/>
        <v>14</v>
      </c>
    </row>
    <row r="64" spans="1:9" x14ac:dyDescent="0.25">
      <c r="A64" s="962"/>
      <c r="B64" s="991" t="s">
        <v>357</v>
      </c>
      <c r="C64" s="992"/>
      <c r="D64" s="622">
        <v>1</v>
      </c>
      <c r="E64" s="622" t="s">
        <v>159</v>
      </c>
      <c r="F64" s="623">
        <v>141.37</v>
      </c>
      <c r="G64" s="622">
        <v>36</v>
      </c>
      <c r="H64" s="623">
        <f t="shared" si="10"/>
        <v>0.33333333333333331</v>
      </c>
      <c r="I64" s="624">
        <f t="shared" si="11"/>
        <v>47.123333333333335</v>
      </c>
    </row>
    <row r="65" spans="1:9" ht="15.75" thickBot="1" x14ac:dyDescent="0.3">
      <c r="A65" s="962"/>
      <c r="B65" s="991" t="s">
        <v>358</v>
      </c>
      <c r="C65" s="992"/>
      <c r="D65" s="622">
        <v>1</v>
      </c>
      <c r="E65" s="622" t="s">
        <v>159</v>
      </c>
      <c r="F65" s="623">
        <v>249</v>
      </c>
      <c r="G65" s="622">
        <v>36</v>
      </c>
      <c r="H65" s="623">
        <f t="shared" si="10"/>
        <v>0.33333333333333331</v>
      </c>
      <c r="I65" s="624">
        <f t="shared" si="11"/>
        <v>83</v>
      </c>
    </row>
    <row r="66" spans="1:9" x14ac:dyDescent="0.25">
      <c r="A66" s="962"/>
      <c r="B66" s="996" t="s">
        <v>348</v>
      </c>
      <c r="C66" s="997"/>
      <c r="D66" s="625">
        <v>1</v>
      </c>
      <c r="E66" s="625" t="s">
        <v>159</v>
      </c>
      <c r="F66" s="626">
        <v>491.1</v>
      </c>
      <c r="G66" s="625">
        <v>12</v>
      </c>
      <c r="H66" s="626">
        <f t="shared" si="10"/>
        <v>1</v>
      </c>
      <c r="I66" s="624">
        <f t="shared" si="11"/>
        <v>491.1</v>
      </c>
    </row>
    <row r="67" spans="1:9" x14ac:dyDescent="0.25">
      <c r="A67" s="962"/>
      <c r="B67" s="991" t="s">
        <v>338</v>
      </c>
      <c r="C67" s="992"/>
      <c r="D67" s="622">
        <v>1</v>
      </c>
      <c r="E67" s="622" t="s">
        <v>328</v>
      </c>
      <c r="F67" s="623">
        <v>321.77999999999997</v>
      </c>
      <c r="G67" s="622">
        <v>12</v>
      </c>
      <c r="H67" s="623">
        <f t="shared" si="10"/>
        <v>1</v>
      </c>
      <c r="I67" s="624">
        <f t="shared" si="11"/>
        <v>321.77999999999997</v>
      </c>
    </row>
    <row r="68" spans="1:9" x14ac:dyDescent="0.25">
      <c r="A68" s="962"/>
      <c r="B68" s="991" t="s">
        <v>359</v>
      </c>
      <c r="C68" s="992"/>
      <c r="D68" s="622">
        <v>1</v>
      </c>
      <c r="E68" s="622" t="s">
        <v>159</v>
      </c>
      <c r="F68" s="623">
        <v>38.01</v>
      </c>
      <c r="G68" s="622">
        <v>12</v>
      </c>
      <c r="H68" s="623">
        <f t="shared" si="10"/>
        <v>1</v>
      </c>
      <c r="I68" s="624">
        <f t="shared" si="11"/>
        <v>38.01</v>
      </c>
    </row>
    <row r="69" spans="1:9" x14ac:dyDescent="0.25">
      <c r="A69" s="962"/>
      <c r="B69" s="991" t="s">
        <v>327</v>
      </c>
      <c r="C69" s="992"/>
      <c r="D69" s="622">
        <v>1</v>
      </c>
      <c r="E69" s="622" t="s">
        <v>328</v>
      </c>
      <c r="F69" s="623">
        <v>11.75</v>
      </c>
      <c r="G69" s="622">
        <v>2</v>
      </c>
      <c r="H69" s="623">
        <f t="shared" si="10"/>
        <v>6</v>
      </c>
      <c r="I69" s="624">
        <f t="shared" si="11"/>
        <v>70.5</v>
      </c>
    </row>
    <row r="70" spans="1:9" x14ac:dyDescent="0.25">
      <c r="A70" s="962"/>
      <c r="B70" s="947" t="s">
        <v>351</v>
      </c>
      <c r="C70" s="948"/>
      <c r="D70" s="289">
        <v>1</v>
      </c>
      <c r="E70" s="289" t="s">
        <v>159</v>
      </c>
      <c r="F70" s="264">
        <v>399.93</v>
      </c>
      <c r="G70" s="289">
        <v>36</v>
      </c>
      <c r="H70" s="623">
        <f>12/G70*D70</f>
        <v>0.33333333333333331</v>
      </c>
      <c r="I70" s="624">
        <f>F70*H70</f>
        <v>133.31</v>
      </c>
    </row>
    <row r="71" spans="1:9" x14ac:dyDescent="0.25">
      <c r="A71" s="962"/>
      <c r="B71" s="982" t="s">
        <v>352</v>
      </c>
      <c r="C71" s="983"/>
      <c r="D71" s="357">
        <v>1</v>
      </c>
      <c r="E71" s="357" t="s">
        <v>159</v>
      </c>
      <c r="F71" s="576">
        <v>224</v>
      </c>
      <c r="G71" s="357">
        <v>36</v>
      </c>
      <c r="H71" s="623">
        <f>12/G71*D71</f>
        <v>0.33333333333333331</v>
      </c>
      <c r="I71" s="624">
        <f>F71*H71</f>
        <v>74.666666666666657</v>
      </c>
    </row>
    <row r="72" spans="1:9" x14ac:dyDescent="0.25">
      <c r="A72" s="962"/>
      <c r="B72" s="991" t="s">
        <v>360</v>
      </c>
      <c r="C72" s="992"/>
      <c r="D72" s="622">
        <v>1</v>
      </c>
      <c r="E72" s="622" t="s">
        <v>328</v>
      </c>
      <c r="F72" s="623">
        <v>303.3</v>
      </c>
      <c r="G72" s="622">
        <v>36</v>
      </c>
      <c r="H72" s="623">
        <f t="shared" si="10"/>
        <v>0.33333333333333331</v>
      </c>
      <c r="I72" s="624">
        <f t="shared" si="11"/>
        <v>101.1</v>
      </c>
    </row>
    <row r="73" spans="1:9" ht="15.75" thickBot="1" x14ac:dyDescent="0.3">
      <c r="A73" s="962"/>
      <c r="B73" s="993" t="s">
        <v>361</v>
      </c>
      <c r="C73" s="994"/>
      <c r="D73" s="627">
        <v>1</v>
      </c>
      <c r="E73" s="627" t="s">
        <v>328</v>
      </c>
      <c r="F73" s="628">
        <v>523.20000000000005</v>
      </c>
      <c r="G73" s="627">
        <v>36</v>
      </c>
      <c r="H73" s="628">
        <f t="shared" si="10"/>
        <v>0.33333333333333331</v>
      </c>
      <c r="I73" s="624">
        <f t="shared" si="11"/>
        <v>174.4</v>
      </c>
    </row>
    <row r="74" spans="1:9" ht="15.75" thickBot="1" x14ac:dyDescent="0.3">
      <c r="A74" s="995"/>
      <c r="B74" s="998" t="s">
        <v>334</v>
      </c>
      <c r="C74" s="974"/>
      <c r="D74" s="974"/>
      <c r="E74" s="974"/>
      <c r="F74" s="974"/>
      <c r="G74" s="974"/>
      <c r="H74" s="975"/>
      <c r="I74" s="629">
        <f>SUM(I60:I73)</f>
        <v>1650.1</v>
      </c>
    </row>
    <row r="75" spans="1:9" x14ac:dyDescent="0.25">
      <c r="A75" s="984" t="s">
        <v>309</v>
      </c>
      <c r="B75" s="985" t="s">
        <v>327</v>
      </c>
      <c r="C75" s="986"/>
      <c r="D75" s="631">
        <v>1</v>
      </c>
      <c r="E75" s="381" t="s">
        <v>328</v>
      </c>
      <c r="F75" s="632">
        <v>11.75</v>
      </c>
      <c r="G75" s="631">
        <v>3</v>
      </c>
      <c r="H75" s="632">
        <f>12/G75*D75</f>
        <v>4</v>
      </c>
      <c r="I75" s="265">
        <f>F75*H75</f>
        <v>47</v>
      </c>
    </row>
    <row r="76" spans="1:9" x14ac:dyDescent="0.25">
      <c r="A76" s="984"/>
      <c r="B76" s="985" t="s">
        <v>348</v>
      </c>
      <c r="C76" s="986"/>
      <c r="D76" s="631">
        <v>1</v>
      </c>
      <c r="E76" s="381" t="s">
        <v>159</v>
      </c>
      <c r="F76" s="632">
        <v>491.1</v>
      </c>
      <c r="G76" s="631">
        <v>12</v>
      </c>
      <c r="H76" s="632">
        <f>12/G76*D76</f>
        <v>1</v>
      </c>
      <c r="I76" s="265">
        <f>F76*H76</f>
        <v>491.1</v>
      </c>
    </row>
    <row r="77" spans="1:9" x14ac:dyDescent="0.25">
      <c r="A77" s="984"/>
      <c r="B77" s="985" t="s">
        <v>338</v>
      </c>
      <c r="C77" s="986"/>
      <c r="D77" s="631">
        <v>1</v>
      </c>
      <c r="E77" s="381" t="s">
        <v>328</v>
      </c>
      <c r="F77" s="632">
        <v>321.77999999999997</v>
      </c>
      <c r="G77" s="631">
        <v>24</v>
      </c>
      <c r="H77" s="632">
        <f>12/G77*D77</f>
        <v>0.5</v>
      </c>
      <c r="I77" s="265">
        <f>F77*H77</f>
        <v>160.88999999999999</v>
      </c>
    </row>
    <row r="78" spans="1:9" ht="15.75" thickBot="1" x14ac:dyDescent="0.3">
      <c r="A78" s="984"/>
      <c r="B78" s="987" t="s">
        <v>362</v>
      </c>
      <c r="C78" s="988"/>
      <c r="D78" s="635">
        <v>1</v>
      </c>
      <c r="E78" s="636" t="s">
        <v>159</v>
      </c>
      <c r="F78" s="637">
        <v>399.93</v>
      </c>
      <c r="G78" s="635">
        <v>36</v>
      </c>
      <c r="H78" s="637">
        <f>12/G78*D78</f>
        <v>0.33333333333333331</v>
      </c>
      <c r="I78" s="638">
        <f>F78*H78</f>
        <v>133.31</v>
      </c>
    </row>
    <row r="79" spans="1:9" ht="15.75" thickBot="1" x14ac:dyDescent="0.3">
      <c r="A79" s="984"/>
      <c r="B79" s="952" t="s">
        <v>334</v>
      </c>
      <c r="C79" s="989"/>
      <c r="D79" s="989"/>
      <c r="E79" s="989"/>
      <c r="F79" s="989"/>
      <c r="G79" s="989"/>
      <c r="H79" s="990"/>
      <c r="I79" s="639">
        <f>SUM(I75:I78)</f>
        <v>832.3</v>
      </c>
    </row>
    <row r="80" spans="1:9" x14ac:dyDescent="0.25">
      <c r="A80" s="1026" t="s">
        <v>193</v>
      </c>
      <c r="B80" s="1029" t="s">
        <v>348</v>
      </c>
      <c r="C80" s="1029"/>
      <c r="D80" s="619">
        <v>1</v>
      </c>
      <c r="E80" s="619" t="s">
        <v>159</v>
      </c>
      <c r="F80" s="620">
        <v>491.1</v>
      </c>
      <c r="G80" s="619">
        <v>12</v>
      </c>
      <c r="H80" s="620">
        <f t="shared" ref="H80:H85" si="12">12/G80*D80</f>
        <v>1</v>
      </c>
      <c r="I80" s="621">
        <f t="shared" ref="I80:I85" si="13">F80*H80</f>
        <v>491.1</v>
      </c>
    </row>
    <row r="81" spans="1:9" x14ac:dyDescent="0.25">
      <c r="A81" s="1027"/>
      <c r="B81" s="1030" t="s">
        <v>338</v>
      </c>
      <c r="C81" s="1030"/>
      <c r="D81" s="622">
        <v>1</v>
      </c>
      <c r="E81" s="622" t="s">
        <v>328</v>
      </c>
      <c r="F81" s="623">
        <v>321.77999999999997</v>
      </c>
      <c r="G81" s="622">
        <v>12</v>
      </c>
      <c r="H81" s="623">
        <f t="shared" si="12"/>
        <v>1</v>
      </c>
      <c r="I81" s="630">
        <f t="shared" si="13"/>
        <v>321.77999999999997</v>
      </c>
    </row>
    <row r="82" spans="1:9" x14ac:dyDescent="0.25">
      <c r="A82" s="1027"/>
      <c r="B82" s="1030" t="s">
        <v>327</v>
      </c>
      <c r="C82" s="1030"/>
      <c r="D82" s="622">
        <v>1</v>
      </c>
      <c r="E82" s="622" t="s">
        <v>328</v>
      </c>
      <c r="F82" s="623">
        <v>11.75</v>
      </c>
      <c r="G82" s="622">
        <v>2</v>
      </c>
      <c r="H82" s="623">
        <f t="shared" si="12"/>
        <v>6</v>
      </c>
      <c r="I82" s="630">
        <f t="shared" si="13"/>
        <v>70.5</v>
      </c>
    </row>
    <row r="83" spans="1:9" x14ac:dyDescent="0.25">
      <c r="A83" s="1027"/>
      <c r="B83" s="1031" t="s">
        <v>351</v>
      </c>
      <c r="C83" s="1031"/>
      <c r="D83" s="289">
        <v>1</v>
      </c>
      <c r="E83" s="289" t="s">
        <v>159</v>
      </c>
      <c r="F83" s="264">
        <v>399.93</v>
      </c>
      <c r="G83" s="289">
        <v>36</v>
      </c>
      <c r="H83" s="623">
        <f t="shared" si="12"/>
        <v>0.33333333333333331</v>
      </c>
      <c r="I83" s="630">
        <f t="shared" si="13"/>
        <v>133.31</v>
      </c>
    </row>
    <row r="84" spans="1:9" x14ac:dyDescent="0.25">
      <c r="A84" s="1027"/>
      <c r="B84" s="1031" t="s">
        <v>352</v>
      </c>
      <c r="C84" s="1031"/>
      <c r="D84" s="289">
        <v>1</v>
      </c>
      <c r="E84" s="289" t="s">
        <v>159</v>
      </c>
      <c r="F84" s="264">
        <v>224</v>
      </c>
      <c r="G84" s="289">
        <v>36</v>
      </c>
      <c r="H84" s="623">
        <f t="shared" si="12"/>
        <v>0.33333333333333331</v>
      </c>
      <c r="I84" s="630">
        <f t="shared" si="13"/>
        <v>74.666666666666657</v>
      </c>
    </row>
    <row r="85" spans="1:9" x14ac:dyDescent="0.25">
      <c r="A85" s="1027"/>
      <c r="B85" s="1030" t="s">
        <v>363</v>
      </c>
      <c r="C85" s="1030"/>
      <c r="D85" s="631">
        <v>1</v>
      </c>
      <c r="E85" s="289" t="s">
        <v>159</v>
      </c>
      <c r="F85" s="632">
        <v>54.5</v>
      </c>
      <c r="G85" s="631">
        <v>24</v>
      </c>
      <c r="H85" s="623">
        <f t="shared" si="12"/>
        <v>0.5</v>
      </c>
      <c r="I85" s="630">
        <f t="shared" si="13"/>
        <v>27.25</v>
      </c>
    </row>
    <row r="86" spans="1:9" x14ac:dyDescent="0.25">
      <c r="A86" s="1027"/>
      <c r="B86" s="1032" t="s">
        <v>364</v>
      </c>
      <c r="C86" s="992"/>
      <c r="D86" s="633">
        <v>1</v>
      </c>
      <c r="E86" s="289" t="s">
        <v>159</v>
      </c>
      <c r="F86" s="633">
        <v>4250</v>
      </c>
      <c r="G86" s="633">
        <v>96</v>
      </c>
      <c r="H86" s="623">
        <f>12/G86*D86</f>
        <v>0.125</v>
      </c>
      <c r="I86" s="630">
        <f>F86*H86</f>
        <v>531.25</v>
      </c>
    </row>
    <row r="87" spans="1:9" x14ac:dyDescent="0.25">
      <c r="A87" s="1027"/>
      <c r="B87" s="1032" t="s">
        <v>365</v>
      </c>
      <c r="C87" s="992"/>
      <c r="D87" s="633">
        <v>1</v>
      </c>
      <c r="E87" s="289" t="s">
        <v>159</v>
      </c>
      <c r="F87" s="633">
        <v>5330</v>
      </c>
      <c r="G87" s="633">
        <v>96</v>
      </c>
      <c r="H87" s="623">
        <f>12/G87*D87</f>
        <v>0.125</v>
      </c>
      <c r="I87" s="630">
        <f>F87*H87</f>
        <v>666.25</v>
      </c>
    </row>
    <row r="88" spans="1:9" ht="15.75" thickBot="1" x14ac:dyDescent="0.3">
      <c r="A88" s="1028"/>
      <c r="B88" s="1010" t="s">
        <v>334</v>
      </c>
      <c r="C88" s="1010"/>
      <c r="D88" s="1010"/>
      <c r="E88" s="1010"/>
      <c r="F88" s="1010"/>
      <c r="G88" s="1010"/>
      <c r="H88" s="1010"/>
      <c r="I88" s="634">
        <f>SUM(I80:I87)</f>
        <v>2316.1066666666666</v>
      </c>
    </row>
    <row r="89" spans="1:9" x14ac:dyDescent="0.25">
      <c r="A89" s="550"/>
      <c r="B89" s="551"/>
      <c r="C89" s="251"/>
      <c r="D89" s="251"/>
      <c r="E89" s="251"/>
      <c r="F89" s="251"/>
      <c r="G89" s="251"/>
      <c r="H89" s="251"/>
      <c r="I89" s="578"/>
    </row>
    <row r="90" spans="1:9" x14ac:dyDescent="0.25">
      <c r="A90" s="550"/>
      <c r="B90" s="551"/>
      <c r="C90" s="251"/>
      <c r="D90" s="251"/>
      <c r="E90" s="251"/>
      <c r="F90" s="251"/>
      <c r="G90" s="251"/>
      <c r="H90" s="251"/>
      <c r="I90" s="578"/>
    </row>
    <row r="91" spans="1:9" x14ac:dyDescent="0.25">
      <c r="A91" s="550"/>
      <c r="B91" s="551"/>
      <c r="C91" s="251"/>
      <c r="D91" s="251"/>
      <c r="E91" s="251"/>
      <c r="F91" s="251"/>
      <c r="G91" s="251"/>
      <c r="H91" s="251"/>
      <c r="I91" s="578"/>
    </row>
    <row r="92" spans="1:9" ht="12.6" customHeight="1" x14ac:dyDescent="0.25">
      <c r="A92" s="550"/>
      <c r="B92" s="551"/>
      <c r="C92" s="251"/>
      <c r="D92" s="251"/>
      <c r="E92" s="251"/>
      <c r="F92" s="251"/>
      <c r="G92" s="251"/>
      <c r="H92" s="251"/>
      <c r="I92" s="578"/>
    </row>
    <row r="93" spans="1:9" ht="11.45" customHeight="1" x14ac:dyDescent="0.25">
      <c r="A93" s="550"/>
      <c r="B93" s="551"/>
      <c r="C93" s="251"/>
      <c r="D93" s="251"/>
      <c r="E93" s="251"/>
      <c r="F93" s="251"/>
      <c r="G93" s="251"/>
      <c r="H93" s="251"/>
      <c r="I93" s="578"/>
    </row>
    <row r="94" spans="1:9" ht="11.45" customHeight="1" x14ac:dyDescent="0.25">
      <c r="A94" s="251"/>
      <c r="B94" s="251"/>
      <c r="C94" s="251"/>
      <c r="D94" s="251"/>
      <c r="E94" s="251"/>
      <c r="F94" s="251"/>
      <c r="G94" s="251"/>
      <c r="H94" s="251"/>
      <c r="I94" s="251"/>
    </row>
    <row r="95" spans="1:9" ht="36.6" hidden="1" customHeight="1" x14ac:dyDescent="0.25">
      <c r="A95" s="1011" t="s">
        <v>366</v>
      </c>
      <c r="B95" s="1012"/>
      <c r="C95" s="1012"/>
      <c r="D95" s="1012"/>
      <c r="E95" s="1012"/>
      <c r="F95" s="1012"/>
      <c r="G95" s="1012"/>
      <c r="H95" s="1012"/>
      <c r="I95" s="1012"/>
    </row>
    <row r="96" spans="1:9" ht="15.75" hidden="1" thickBot="1" x14ac:dyDescent="0.3">
      <c r="A96" s="1013" t="s">
        <v>367</v>
      </c>
      <c r="B96" s="1014"/>
      <c r="C96" s="1014"/>
      <c r="D96" s="1014"/>
      <c r="E96" s="1014"/>
      <c r="F96" s="1014"/>
      <c r="G96" s="1014"/>
      <c r="H96" s="1014"/>
      <c r="I96" s="1014"/>
    </row>
    <row r="97" spans="1:13" hidden="1" x14ac:dyDescent="0.25">
      <c r="A97" s="1015" t="s">
        <v>221</v>
      </c>
      <c r="B97" s="1016"/>
      <c r="C97" s="1019" t="s">
        <v>222</v>
      </c>
      <c r="D97" s="1021" t="s">
        <v>368</v>
      </c>
      <c r="E97" s="1022" t="s">
        <v>369</v>
      </c>
      <c r="F97" s="1023"/>
      <c r="G97" s="1024" t="s">
        <v>370</v>
      </c>
      <c r="H97" s="1025"/>
      <c r="I97" s="359" t="s">
        <v>227</v>
      </c>
    </row>
    <row r="98" spans="1:13" ht="38.25" hidden="1" x14ac:dyDescent="0.25">
      <c r="A98" s="1017"/>
      <c r="B98" s="1018"/>
      <c r="C98" s="1020"/>
      <c r="D98" s="1020"/>
      <c r="E98" s="360" t="s">
        <v>371</v>
      </c>
      <c r="F98" s="360" t="s">
        <v>372</v>
      </c>
      <c r="G98" s="360" t="s">
        <v>371</v>
      </c>
      <c r="H98" s="360" t="s">
        <v>372</v>
      </c>
      <c r="I98" s="361"/>
    </row>
    <row r="99" spans="1:13" hidden="1" x14ac:dyDescent="0.25">
      <c r="A99" s="880" t="s">
        <v>236</v>
      </c>
      <c r="B99" s="690"/>
      <c r="C99" s="690"/>
      <c r="D99" s="690"/>
      <c r="E99" s="690"/>
      <c r="F99" s="999"/>
      <c r="G99" s="362"/>
      <c r="H99" s="362"/>
      <c r="I99" s="363"/>
    </row>
    <row r="100" spans="1:13" hidden="1" x14ac:dyDescent="0.25">
      <c r="A100" s="1000" t="s">
        <v>231</v>
      </c>
      <c r="B100" s="1001"/>
      <c r="C100" s="364">
        <f>[1]Таблица_Характеристика!G50+[1]Таблица_Характеристика!G51</f>
        <v>0</v>
      </c>
      <c r="D100" s="364"/>
      <c r="E100" s="365">
        <v>7.4999999999999997E-2</v>
      </c>
      <c r="F100" s="365">
        <v>0</v>
      </c>
      <c r="G100" s="365">
        <f>C100/100*E100*D100</f>
        <v>0</v>
      </c>
      <c r="H100" s="365">
        <v>0</v>
      </c>
      <c r="I100" s="366" t="s">
        <v>237</v>
      </c>
    </row>
    <row r="101" spans="1:13" hidden="1" x14ac:dyDescent="0.25">
      <c r="A101" s="1000" t="s">
        <v>232</v>
      </c>
      <c r="B101" s="1001"/>
      <c r="C101" s="364">
        <f>[1]Таблица_Характеристика!J50+[1]Таблица_Характеристика!J51</f>
        <v>0</v>
      </c>
      <c r="D101" s="364"/>
      <c r="E101" s="365">
        <v>0.09</v>
      </c>
      <c r="F101" s="365">
        <v>0</v>
      </c>
      <c r="G101" s="365">
        <f>C101/100*E101*D101</f>
        <v>0</v>
      </c>
      <c r="H101" s="365">
        <v>0</v>
      </c>
      <c r="I101" s="366" t="s">
        <v>238</v>
      </c>
    </row>
    <row r="102" spans="1:13" hidden="1" x14ac:dyDescent="0.25">
      <c r="A102" s="1000" t="s">
        <v>233</v>
      </c>
      <c r="B102" s="1001"/>
      <c r="C102" s="364">
        <f>[1]Таблица_Характеристика!L50+[1]Таблица_Характеристика!L51</f>
        <v>0</v>
      </c>
      <c r="D102" s="364"/>
      <c r="E102" s="365">
        <v>0.11</v>
      </c>
      <c r="F102" s="365">
        <v>0</v>
      </c>
      <c r="G102" s="365">
        <f>C102/100*E102*D102</f>
        <v>0</v>
      </c>
      <c r="H102" s="365">
        <v>0</v>
      </c>
      <c r="I102" s="366" t="s">
        <v>239</v>
      </c>
    </row>
    <row r="103" spans="1:13" hidden="1" x14ac:dyDescent="0.25">
      <c r="A103" s="1002" t="s">
        <v>212</v>
      </c>
      <c r="B103" s="1003"/>
      <c r="C103" s="1008" t="s">
        <v>102</v>
      </c>
      <c r="D103" s="1009"/>
      <c r="E103" s="367"/>
      <c r="F103" s="367"/>
      <c r="G103" s="368">
        <f>SUM(G100:G102)</f>
        <v>0</v>
      </c>
      <c r="H103" s="368">
        <f>SUM(H100:H102)</f>
        <v>0</v>
      </c>
      <c r="I103" s="1044">
        <f>G105+H105</f>
        <v>0</v>
      </c>
    </row>
    <row r="104" spans="1:13" hidden="1" x14ac:dyDescent="0.25">
      <c r="A104" s="1004"/>
      <c r="B104" s="1005"/>
      <c r="C104" s="1047" t="s">
        <v>317</v>
      </c>
      <c r="D104" s="1048"/>
      <c r="E104" s="364"/>
      <c r="F104" s="364"/>
      <c r="G104" s="368">
        <f>[1]Расчет!C25</f>
        <v>0</v>
      </c>
      <c r="H104" s="367">
        <v>0</v>
      </c>
      <c r="I104" s="1045"/>
    </row>
    <row r="105" spans="1:13" hidden="1" x14ac:dyDescent="0.25">
      <c r="A105" s="1006"/>
      <c r="B105" s="1007"/>
      <c r="C105" s="1047" t="s">
        <v>373</v>
      </c>
      <c r="D105" s="1048"/>
      <c r="E105" s="364"/>
      <c r="F105" s="364"/>
      <c r="G105" s="367">
        <f>G103*G104</f>
        <v>0</v>
      </c>
      <c r="H105" s="367">
        <f>H103*H104</f>
        <v>0</v>
      </c>
      <c r="I105" s="1046"/>
    </row>
    <row r="106" spans="1:13" ht="15.75" thickBot="1" x14ac:dyDescent="0.3">
      <c r="A106" s="1049"/>
      <c r="B106" s="1050"/>
      <c r="C106" s="369"/>
      <c r="D106" s="369"/>
      <c r="E106" s="370"/>
      <c r="F106" s="370"/>
      <c r="G106" s="370"/>
      <c r="H106" s="370"/>
      <c r="I106" s="371"/>
    </row>
    <row r="107" spans="1:13" ht="41.45" customHeight="1" x14ac:dyDescent="0.25">
      <c r="A107" s="1026" t="s">
        <v>221</v>
      </c>
      <c r="B107" s="1052" t="s">
        <v>374</v>
      </c>
      <c r="C107" s="1053"/>
      <c r="D107" s="1054" t="s">
        <v>375</v>
      </c>
      <c r="E107" s="1056" t="s">
        <v>376</v>
      </c>
      <c r="F107" s="1057"/>
      <c r="G107" s="1058" t="s">
        <v>377</v>
      </c>
      <c r="H107" s="1060" t="s">
        <v>378</v>
      </c>
      <c r="I107" s="1061"/>
    </row>
    <row r="108" spans="1:13" ht="48.6" customHeight="1" thickBot="1" x14ac:dyDescent="0.3">
      <c r="A108" s="1051"/>
      <c r="B108" s="372" t="s">
        <v>379</v>
      </c>
      <c r="C108" s="372" t="s">
        <v>380</v>
      </c>
      <c r="D108" s="1055"/>
      <c r="E108" s="372" t="s">
        <v>379</v>
      </c>
      <c r="F108" s="372" t="s">
        <v>380</v>
      </c>
      <c r="G108" s="1059"/>
      <c r="H108" s="373" t="s">
        <v>381</v>
      </c>
      <c r="I108" s="374" t="s">
        <v>382</v>
      </c>
      <c r="J108">
        <v>45.7</v>
      </c>
      <c r="K108" s="662" t="s">
        <v>963</v>
      </c>
      <c r="L108">
        <v>39.082500000000003</v>
      </c>
      <c r="M108" t="s">
        <v>964</v>
      </c>
    </row>
    <row r="109" spans="1:13" ht="45.75" thickBot="1" x14ac:dyDescent="0.3">
      <c r="A109" s="1033" t="s">
        <v>383</v>
      </c>
      <c r="B109" s="739"/>
      <c r="C109" s="739"/>
      <c r="D109" s="1034"/>
      <c r="E109" s="1035" t="s">
        <v>384</v>
      </c>
      <c r="F109" s="1036"/>
      <c r="G109" s="1037"/>
      <c r="H109" s="375">
        <v>2.6499999999999999E-2</v>
      </c>
      <c r="I109" s="376">
        <v>0.53</v>
      </c>
      <c r="J109" s="662" t="s">
        <v>471</v>
      </c>
    </row>
    <row r="110" spans="1:13" ht="25.5" x14ac:dyDescent="0.25">
      <c r="A110" s="377" t="s">
        <v>385</v>
      </c>
      <c r="B110" s="364">
        <f>[1]Таблица_Характеристика!$H$59*(IF([1]Расчет!$D$35=1,1,0))</f>
        <v>0</v>
      </c>
      <c r="C110" s="364">
        <f>Характеристика!L55</f>
        <v>3477</v>
      </c>
      <c r="D110" s="378">
        <v>2</v>
      </c>
      <c r="E110" s="379"/>
      <c r="F110" s="379">
        <v>0.47</v>
      </c>
      <c r="G110" s="379">
        <f>((B110/100*E110)+(C110/100*F110))*D110</f>
        <v>32.683799999999998</v>
      </c>
      <c r="H110" s="379">
        <f>G110*H109</f>
        <v>0.86612069999999997</v>
      </c>
      <c r="I110" s="380">
        <f>G110*I109</f>
        <v>17.322413999999998</v>
      </c>
    </row>
    <row r="111" spans="1:13" x14ac:dyDescent="0.25">
      <c r="A111" s="1038" t="s">
        <v>212</v>
      </c>
      <c r="B111" s="1039" t="s">
        <v>102</v>
      </c>
      <c r="C111" s="1040"/>
      <c r="D111" s="378"/>
      <c r="E111" s="381"/>
      <c r="F111" s="381"/>
      <c r="G111" s="364"/>
      <c r="H111" s="367">
        <f>SUM(H110:H110)</f>
        <v>0.86612069999999997</v>
      </c>
      <c r="I111" s="382">
        <f>SUM(I110:I110)</f>
        <v>17.322413999999998</v>
      </c>
    </row>
    <row r="112" spans="1:13" x14ac:dyDescent="0.25">
      <c r="A112" s="1038"/>
      <c r="B112" s="1041" t="s">
        <v>317</v>
      </c>
      <c r="C112" s="1041"/>
      <c r="D112" s="378"/>
      <c r="E112" s="381"/>
      <c r="F112" s="381"/>
      <c r="G112" s="381"/>
      <c r="H112" s="367">
        <f>L108</f>
        <v>39.082500000000003</v>
      </c>
      <c r="I112" s="382">
        <f>J108</f>
        <v>45.7</v>
      </c>
    </row>
    <row r="113" spans="1:9" x14ac:dyDescent="0.25">
      <c r="A113" s="1038"/>
      <c r="B113" s="1042" t="s">
        <v>386</v>
      </c>
      <c r="C113" s="1042"/>
      <c r="D113" s="383"/>
      <c r="E113" s="384"/>
      <c r="F113" s="384"/>
      <c r="G113" s="384"/>
      <c r="H113" s="385">
        <f>H111*H112</f>
        <v>33.85016225775</v>
      </c>
      <c r="I113" s="386">
        <f>I111*I112</f>
        <v>791.63431979999996</v>
      </c>
    </row>
    <row r="114" spans="1:9" x14ac:dyDescent="0.25">
      <c r="A114" s="1038"/>
      <c r="B114" s="1043" t="s">
        <v>991</v>
      </c>
      <c r="C114" s="1043"/>
      <c r="D114" s="1043"/>
      <c r="E114" s="381"/>
      <c r="F114" s="381"/>
      <c r="G114" s="381"/>
      <c r="H114" s="367">
        <f>C110*0.01984</f>
        <v>68.983680000000007</v>
      </c>
      <c r="I114" s="367"/>
    </row>
    <row r="115" spans="1:9" x14ac:dyDescent="0.25">
      <c r="A115" s="387"/>
      <c r="B115" s="1043" t="s">
        <v>965</v>
      </c>
      <c r="C115" s="1043"/>
      <c r="D115" s="1043"/>
      <c r="E115" s="381"/>
      <c r="F115" s="381"/>
      <c r="G115" s="381"/>
      <c r="H115" s="367">
        <f>G110*8.34</f>
        <v>272.58289199999996</v>
      </c>
      <c r="I115" s="367"/>
    </row>
    <row r="116" spans="1:9" x14ac:dyDescent="0.25">
      <c r="A116" s="387"/>
      <c r="B116" s="388"/>
      <c r="C116" s="388"/>
      <c r="D116" s="389"/>
      <c r="E116" s="390"/>
      <c r="F116" s="390"/>
      <c r="G116" s="390"/>
      <c r="H116" s="391"/>
      <c r="I116" s="391">
        <f>H113+I113+H114+H115</f>
        <v>1167.05105405775</v>
      </c>
    </row>
    <row r="117" spans="1:9" s="344" customFormat="1" hidden="1" x14ac:dyDescent="0.25">
      <c r="A117" s="345"/>
      <c r="B117" s="347"/>
      <c r="C117" s="347"/>
      <c r="D117" s="347"/>
      <c r="E117" s="347"/>
      <c r="F117" s="347"/>
      <c r="G117" s="347"/>
      <c r="H117" s="347"/>
      <c r="I117" s="347"/>
    </row>
    <row r="118" spans="1:9" s="344" customFormat="1" ht="15.75" hidden="1" thickBot="1" x14ac:dyDescent="0.3">
      <c r="A118" s="1071" t="s">
        <v>387</v>
      </c>
      <c r="B118" s="1072"/>
      <c r="C118" s="1072"/>
      <c r="D118" s="1072"/>
      <c r="E118" s="1072"/>
      <c r="F118" s="1072"/>
      <c r="G118" s="1072"/>
      <c r="H118" s="1072"/>
      <c r="I118" s="1072"/>
    </row>
    <row r="119" spans="1:9" s="344" customFormat="1" hidden="1" x14ac:dyDescent="0.25">
      <c r="A119" s="1073" t="s">
        <v>221</v>
      </c>
      <c r="B119" s="1074"/>
      <c r="C119" s="1077" t="s">
        <v>222</v>
      </c>
      <c r="D119" s="1079" t="s">
        <v>223</v>
      </c>
      <c r="E119" s="1080" t="s">
        <v>369</v>
      </c>
      <c r="F119" s="1081"/>
      <c r="G119" s="1082" t="s">
        <v>370</v>
      </c>
      <c r="H119" s="1083"/>
      <c r="I119" s="297" t="s">
        <v>227</v>
      </c>
    </row>
    <row r="120" spans="1:9" s="344" customFormat="1" ht="26.25" hidden="1" thickBot="1" x14ac:dyDescent="0.3">
      <c r="A120" s="1075"/>
      <c r="B120" s="1076"/>
      <c r="C120" s="1078"/>
      <c r="D120" s="1078"/>
      <c r="E120" s="300" t="s">
        <v>371</v>
      </c>
      <c r="F120" s="300" t="s">
        <v>388</v>
      </c>
      <c r="G120" s="300" t="s">
        <v>371</v>
      </c>
      <c r="H120" s="300" t="s">
        <v>388</v>
      </c>
      <c r="I120" s="301"/>
    </row>
    <row r="121" spans="1:9" s="344" customFormat="1" ht="15.75" hidden="1" thickBot="1" x14ac:dyDescent="0.3">
      <c r="A121" s="1062" t="s">
        <v>389</v>
      </c>
      <c r="B121" s="1063"/>
      <c r="C121" s="302">
        <f>'[1]сходові клітки'!C37</f>
        <v>0</v>
      </c>
      <c r="D121" s="303"/>
      <c r="E121" s="304">
        <v>0.05</v>
      </c>
      <c r="F121" s="305">
        <v>2.3E-3</v>
      </c>
      <c r="G121" s="306">
        <f>C121/100*D121*E121</f>
        <v>0</v>
      </c>
      <c r="H121" s="304">
        <f>C121/100*D121*F121</f>
        <v>0</v>
      </c>
      <c r="I121" s="307" t="s">
        <v>390</v>
      </c>
    </row>
    <row r="122" spans="1:9" s="344" customFormat="1" hidden="1" x14ac:dyDescent="0.25">
      <c r="A122" s="1064" t="s">
        <v>391</v>
      </c>
      <c r="B122" s="1065"/>
      <c r="C122" s="302">
        <f>'[1]сходові клітки'!C38</f>
        <v>0</v>
      </c>
      <c r="D122" s="308"/>
      <c r="E122" s="298">
        <v>0.05</v>
      </c>
      <c r="F122" s="305">
        <v>1E-3</v>
      </c>
      <c r="G122" s="309">
        <f>C122/100*D122*E122</f>
        <v>0</v>
      </c>
      <c r="H122" s="310">
        <f>C122/100*D122*F122</f>
        <v>0</v>
      </c>
      <c r="I122" s="311" t="s">
        <v>392</v>
      </c>
    </row>
    <row r="123" spans="1:9" s="344" customFormat="1" hidden="1" x14ac:dyDescent="0.25">
      <c r="A123" s="1066" t="s">
        <v>393</v>
      </c>
      <c r="B123" s="1067"/>
      <c r="C123" s="1068"/>
      <c r="D123" s="312"/>
      <c r="E123" s="309"/>
      <c r="F123" s="313"/>
      <c r="G123" s="309"/>
      <c r="H123" s="314"/>
      <c r="I123" s="315"/>
    </row>
    <row r="124" spans="1:9" s="344" customFormat="1" hidden="1" x14ac:dyDescent="0.25">
      <c r="A124" s="1069" t="s">
        <v>394</v>
      </c>
      <c r="B124" s="1070"/>
      <c r="C124" s="316">
        <f>'[1]сходові клітки'!C40</f>
        <v>0</v>
      </c>
      <c r="D124" s="312"/>
      <c r="E124" s="309">
        <v>5.0000000000000001E-3</v>
      </c>
      <c r="F124" s="313">
        <v>6.6E-3</v>
      </c>
      <c r="G124" s="309">
        <f>C124/100*E124*D124</f>
        <v>0</v>
      </c>
      <c r="H124" s="314">
        <f>C124/100*F124*D124</f>
        <v>0</v>
      </c>
      <c r="I124" s="315" t="s">
        <v>395</v>
      </c>
    </row>
    <row r="125" spans="1:9" s="344" customFormat="1" hidden="1" x14ac:dyDescent="0.25">
      <c r="A125" s="1069" t="s">
        <v>396</v>
      </c>
      <c r="B125" s="1070"/>
      <c r="C125" s="316">
        <f>'[1]сходові клітки'!C41</f>
        <v>0</v>
      </c>
      <c r="D125" s="312"/>
      <c r="E125" s="309">
        <v>5.0000000000000001E-3</v>
      </c>
      <c r="F125" s="313">
        <v>8.0000000000000002E-3</v>
      </c>
      <c r="G125" s="309">
        <f t="shared" ref="G125:G130" si="14">C125/100*E125*D125</f>
        <v>0</v>
      </c>
      <c r="H125" s="314">
        <f t="shared" ref="H125:H130" si="15">C125/100*F125*D125</f>
        <v>0</v>
      </c>
      <c r="I125" s="315" t="s">
        <v>397</v>
      </c>
    </row>
    <row r="126" spans="1:9" s="344" customFormat="1" hidden="1" x14ac:dyDescent="0.25">
      <c r="A126" s="1069" t="s">
        <v>398</v>
      </c>
      <c r="B126" s="1070"/>
      <c r="C126" s="316">
        <f>'[1]сходові клітки'!C42</f>
        <v>0</v>
      </c>
      <c r="D126" s="312"/>
      <c r="E126" s="309">
        <v>5.0000000000000001E-3</v>
      </c>
      <c r="F126" s="313">
        <v>8.3000000000000001E-3</v>
      </c>
      <c r="G126" s="309">
        <f t="shared" si="14"/>
        <v>0</v>
      </c>
      <c r="H126" s="314">
        <f t="shared" si="15"/>
        <v>0</v>
      </c>
      <c r="I126" s="315" t="s">
        <v>399</v>
      </c>
    </row>
    <row r="127" spans="1:9" s="344" customFormat="1" hidden="1" x14ac:dyDescent="0.25">
      <c r="A127" s="1069" t="s">
        <v>400</v>
      </c>
      <c r="B127" s="1070"/>
      <c r="C127" s="316">
        <f>'[1]сходові клітки'!C43</f>
        <v>0</v>
      </c>
      <c r="D127" s="312"/>
      <c r="E127" s="309">
        <v>5.0000000000000001E-3</v>
      </c>
      <c r="F127" s="313">
        <v>1.0999999999999999E-2</v>
      </c>
      <c r="G127" s="309">
        <f t="shared" si="14"/>
        <v>0</v>
      </c>
      <c r="H127" s="314">
        <f t="shared" si="15"/>
        <v>0</v>
      </c>
      <c r="I127" s="315" t="s">
        <v>401</v>
      </c>
    </row>
    <row r="128" spans="1:9" s="344" customFormat="1" hidden="1" x14ac:dyDescent="0.25">
      <c r="A128" s="1069" t="s">
        <v>402</v>
      </c>
      <c r="B128" s="1070"/>
      <c r="C128" s="316">
        <f>'[1]сходові клітки'!C44</f>
        <v>0</v>
      </c>
      <c r="D128" s="312"/>
      <c r="E128" s="309">
        <v>5.0000000000000001E-3</v>
      </c>
      <c r="F128" s="313">
        <v>6.0000000000000001E-3</v>
      </c>
      <c r="G128" s="309">
        <f t="shared" si="14"/>
        <v>0</v>
      </c>
      <c r="H128" s="314">
        <f t="shared" si="15"/>
        <v>0</v>
      </c>
      <c r="I128" s="315" t="s">
        <v>403</v>
      </c>
    </row>
    <row r="129" spans="1:9" s="344" customFormat="1" hidden="1" x14ac:dyDescent="0.25">
      <c r="A129" s="1069" t="s">
        <v>404</v>
      </c>
      <c r="B129" s="1070"/>
      <c r="C129" s="316">
        <f>'[1]сходові клітки'!C45</f>
        <v>0</v>
      </c>
      <c r="D129" s="312"/>
      <c r="E129" s="309">
        <v>5.0000000000000001E-3</v>
      </c>
      <c r="F129" s="313">
        <v>7.9000000000000008E-3</v>
      </c>
      <c r="G129" s="309">
        <f t="shared" si="14"/>
        <v>0</v>
      </c>
      <c r="H129" s="314">
        <f t="shared" si="15"/>
        <v>0</v>
      </c>
      <c r="I129" s="315" t="s">
        <v>405</v>
      </c>
    </row>
    <row r="130" spans="1:9" s="344" customFormat="1" hidden="1" x14ac:dyDescent="0.25">
      <c r="A130" s="1069" t="s">
        <v>406</v>
      </c>
      <c r="B130" s="1070"/>
      <c r="C130" s="316">
        <f>'[1]сходові клітки'!C46</f>
        <v>0</v>
      </c>
      <c r="D130" s="312"/>
      <c r="E130" s="309">
        <v>5.0000000000000001E-3</v>
      </c>
      <c r="F130" s="313">
        <v>9.1000000000000004E-3</v>
      </c>
      <c r="G130" s="309">
        <f t="shared" si="14"/>
        <v>0</v>
      </c>
      <c r="H130" s="314">
        <f t="shared" si="15"/>
        <v>0</v>
      </c>
      <c r="I130" s="315" t="s">
        <v>407</v>
      </c>
    </row>
    <row r="131" spans="1:9" s="344" customFormat="1" hidden="1" x14ac:dyDescent="0.25">
      <c r="A131" s="1066" t="s">
        <v>408</v>
      </c>
      <c r="B131" s="1067"/>
      <c r="C131" s="1068"/>
      <c r="D131" s="312"/>
      <c r="E131" s="309"/>
      <c r="F131" s="313"/>
      <c r="G131" s="309"/>
      <c r="H131" s="314"/>
      <c r="I131" s="315"/>
    </row>
    <row r="132" spans="1:9" s="344" customFormat="1" hidden="1" x14ac:dyDescent="0.25">
      <c r="A132" s="1069" t="s">
        <v>394</v>
      </c>
      <c r="B132" s="1070"/>
      <c r="C132" s="316">
        <f>'[1]сходові клітки'!C48</f>
        <v>0</v>
      </c>
      <c r="D132" s="312"/>
      <c r="E132" s="309">
        <v>5.0000000000000001E-3</v>
      </c>
      <c r="F132" s="313">
        <v>8.6999999999999994E-3</v>
      </c>
      <c r="G132" s="309">
        <f>C132/100*E132*D132</f>
        <v>0</v>
      </c>
      <c r="H132" s="314">
        <f>C132/100*F132*D132</f>
        <v>0</v>
      </c>
      <c r="I132" s="315" t="s">
        <v>409</v>
      </c>
    </row>
    <row r="133" spans="1:9" s="344" customFormat="1" hidden="1" x14ac:dyDescent="0.25">
      <c r="A133" s="1069" t="s">
        <v>396</v>
      </c>
      <c r="B133" s="1070"/>
      <c r="C133" s="316">
        <f>'[1]сходові клітки'!C49</f>
        <v>0</v>
      </c>
      <c r="D133" s="312"/>
      <c r="E133" s="309">
        <v>5.0000000000000001E-3</v>
      </c>
      <c r="F133" s="313">
        <v>0.01</v>
      </c>
      <c r="G133" s="309">
        <f t="shared" ref="G133:G138" si="16">C133/100*E133*D133</f>
        <v>0</v>
      </c>
      <c r="H133" s="314">
        <f t="shared" ref="H133:H138" si="17">C133/100*F133*D133</f>
        <v>0</v>
      </c>
      <c r="I133" s="315" t="s">
        <v>410</v>
      </c>
    </row>
    <row r="134" spans="1:9" s="344" customFormat="1" hidden="1" x14ac:dyDescent="0.25">
      <c r="A134" s="1069" t="s">
        <v>398</v>
      </c>
      <c r="B134" s="1070"/>
      <c r="C134" s="316">
        <f>'[1]сходові клітки'!C50</f>
        <v>0</v>
      </c>
      <c r="D134" s="312"/>
      <c r="E134" s="309">
        <v>5.0000000000000001E-3</v>
      </c>
      <c r="F134" s="313">
        <v>1.23E-2</v>
      </c>
      <c r="G134" s="309">
        <f t="shared" si="16"/>
        <v>0</v>
      </c>
      <c r="H134" s="314">
        <f t="shared" si="17"/>
        <v>0</v>
      </c>
      <c r="I134" s="315" t="s">
        <v>411</v>
      </c>
    </row>
    <row r="135" spans="1:9" s="344" customFormat="1" hidden="1" x14ac:dyDescent="0.25">
      <c r="A135" s="1069" t="s">
        <v>400</v>
      </c>
      <c r="B135" s="1070"/>
      <c r="C135" s="316">
        <f>'[1]сходові клітки'!C51</f>
        <v>0</v>
      </c>
      <c r="D135" s="312"/>
      <c r="E135" s="309">
        <v>5.0000000000000001E-3</v>
      </c>
      <c r="F135" s="313">
        <v>1.4500000000000001E-2</v>
      </c>
      <c r="G135" s="309">
        <f t="shared" si="16"/>
        <v>0</v>
      </c>
      <c r="H135" s="314">
        <f t="shared" si="17"/>
        <v>0</v>
      </c>
      <c r="I135" s="315" t="s">
        <v>412</v>
      </c>
    </row>
    <row r="136" spans="1:9" s="344" customFormat="1" hidden="1" x14ac:dyDescent="0.25">
      <c r="A136" s="1069" t="s">
        <v>402</v>
      </c>
      <c r="B136" s="1070"/>
      <c r="C136" s="316">
        <f>'[1]сходові клітки'!C52</f>
        <v>0</v>
      </c>
      <c r="D136" s="312"/>
      <c r="E136" s="309">
        <v>5.0000000000000001E-3</v>
      </c>
      <c r="F136" s="313">
        <v>8.2000000000000007E-3</v>
      </c>
      <c r="G136" s="309">
        <f t="shared" si="16"/>
        <v>0</v>
      </c>
      <c r="H136" s="314">
        <f t="shared" si="17"/>
        <v>0</v>
      </c>
      <c r="I136" s="315" t="s">
        <v>413</v>
      </c>
    </row>
    <row r="137" spans="1:9" s="344" customFormat="1" hidden="1" x14ac:dyDescent="0.25">
      <c r="A137" s="1069" t="s">
        <v>404</v>
      </c>
      <c r="B137" s="1070"/>
      <c r="C137" s="316">
        <f>'[1]сходові клітки'!C53</f>
        <v>0</v>
      </c>
      <c r="D137" s="312"/>
      <c r="E137" s="309">
        <v>5.0000000000000001E-3</v>
      </c>
      <c r="F137" s="313">
        <v>0.01</v>
      </c>
      <c r="G137" s="309">
        <f t="shared" si="16"/>
        <v>0</v>
      </c>
      <c r="H137" s="314">
        <f t="shared" si="17"/>
        <v>0</v>
      </c>
      <c r="I137" s="315" t="s">
        <v>414</v>
      </c>
    </row>
    <row r="138" spans="1:9" s="344" customFormat="1" hidden="1" x14ac:dyDescent="0.25">
      <c r="A138" s="1069" t="s">
        <v>406</v>
      </c>
      <c r="B138" s="1070"/>
      <c r="C138" s="316">
        <f>'[1]сходові клітки'!C54</f>
        <v>0</v>
      </c>
      <c r="D138" s="312"/>
      <c r="E138" s="309">
        <v>5.0000000000000001E-3</v>
      </c>
      <c r="F138" s="313">
        <v>1.17E-2</v>
      </c>
      <c r="G138" s="309">
        <f t="shared" si="16"/>
        <v>0</v>
      </c>
      <c r="H138" s="314">
        <f t="shared" si="17"/>
        <v>0</v>
      </c>
      <c r="I138" s="315" t="s">
        <v>415</v>
      </c>
    </row>
    <row r="139" spans="1:9" s="344" customFormat="1" hidden="1" x14ac:dyDescent="0.25">
      <c r="A139" s="1066" t="s">
        <v>416</v>
      </c>
      <c r="B139" s="1088"/>
      <c r="C139" s="317">
        <f>[1]Таблица_Характеристика!B43</f>
        <v>0</v>
      </c>
      <c r="D139" s="308"/>
      <c r="E139" s="298">
        <v>0</v>
      </c>
      <c r="F139" s="318">
        <v>0</v>
      </c>
      <c r="G139" s="298">
        <f>C139/100*E139*D139</f>
        <v>0</v>
      </c>
      <c r="H139" s="310">
        <f>C139/100*F139*D139</f>
        <v>0</v>
      </c>
      <c r="I139" s="319" t="s">
        <v>417</v>
      </c>
    </row>
    <row r="140" spans="1:9" s="344" customFormat="1" hidden="1" x14ac:dyDescent="0.25">
      <c r="A140" s="1066" t="s">
        <v>418</v>
      </c>
      <c r="B140" s="1088"/>
      <c r="C140" s="317"/>
      <c r="D140" s="308"/>
      <c r="E140" s="298"/>
      <c r="F140" s="318"/>
      <c r="G140" s="298"/>
      <c r="H140" s="310"/>
      <c r="I140" s="319"/>
    </row>
    <row r="141" spans="1:9" s="344" customFormat="1" hidden="1" x14ac:dyDescent="0.25">
      <c r="A141" s="1069" t="s">
        <v>419</v>
      </c>
      <c r="B141" s="1070"/>
      <c r="C141" s="317">
        <f>'[1]сходові клітки'!C57</f>
        <v>0</v>
      </c>
      <c r="D141" s="308"/>
      <c r="E141" s="298">
        <v>2.5000000000000001E-2</v>
      </c>
      <c r="F141" s="318">
        <v>3.7000000000000002E-3</v>
      </c>
      <c r="G141" s="298">
        <f>C141/100*E141*D141</f>
        <v>0</v>
      </c>
      <c r="H141" s="310">
        <f>C141/100*F141*D140:D141</f>
        <v>0</v>
      </c>
      <c r="I141" s="311" t="s">
        <v>420</v>
      </c>
    </row>
    <row r="142" spans="1:9" s="344" customFormat="1" hidden="1" x14ac:dyDescent="0.25">
      <c r="A142" s="1069" t="s">
        <v>421</v>
      </c>
      <c r="B142" s="1070"/>
      <c r="C142" s="317">
        <f>'[1]сходові клітки'!C58</f>
        <v>0</v>
      </c>
      <c r="D142" s="308"/>
      <c r="E142" s="298">
        <v>0.05</v>
      </c>
      <c r="F142" s="318">
        <v>5.5999999999999999E-3</v>
      </c>
      <c r="G142" s="298">
        <f>C142/100*E142*D142</f>
        <v>0</v>
      </c>
      <c r="H142" s="310">
        <f>C142/100*F142*D141:D142</f>
        <v>0</v>
      </c>
      <c r="I142" s="311" t="s">
        <v>422</v>
      </c>
    </row>
    <row r="143" spans="1:9" s="344" customFormat="1" hidden="1" x14ac:dyDescent="0.25">
      <c r="A143" s="1069" t="s">
        <v>423</v>
      </c>
      <c r="B143" s="1070"/>
      <c r="C143" s="317">
        <f>'[1]сходові клітки'!C59</f>
        <v>0</v>
      </c>
      <c r="D143" s="308"/>
      <c r="E143" s="298">
        <v>3.5000000000000003E-2</v>
      </c>
      <c r="F143" s="318">
        <v>5.0000000000000001E-3</v>
      </c>
      <c r="G143" s="298">
        <f>C143/100*E143*D143</f>
        <v>0</v>
      </c>
      <c r="H143" s="310">
        <f>C143/100*F143*D142:D143</f>
        <v>0</v>
      </c>
      <c r="I143" s="311" t="s">
        <v>424</v>
      </c>
    </row>
    <row r="144" spans="1:9" s="344" customFormat="1" hidden="1" x14ac:dyDescent="0.25">
      <c r="A144" s="1069" t="s">
        <v>425</v>
      </c>
      <c r="B144" s="1070"/>
      <c r="C144" s="317">
        <f>'[1]сходові клітки'!C60</f>
        <v>0</v>
      </c>
      <c r="D144" s="308"/>
      <c r="E144" s="298">
        <v>5.0000000000000001E-3</v>
      </c>
      <c r="F144" s="318">
        <v>5.0000000000000001E-3</v>
      </c>
      <c r="G144" s="298">
        <f>C144/100*E144*D144</f>
        <v>0</v>
      </c>
      <c r="H144" s="310">
        <f>C144/100*F144*D143:D144</f>
        <v>0</v>
      </c>
      <c r="I144" s="311" t="s">
        <v>426</v>
      </c>
    </row>
    <row r="145" spans="1:9" s="344" customFormat="1" hidden="1" x14ac:dyDescent="0.25">
      <c r="A145" s="1069" t="s">
        <v>427</v>
      </c>
      <c r="B145" s="1070"/>
      <c r="C145" s="317">
        <f>'[1]сходові клітки'!C61</f>
        <v>0</v>
      </c>
      <c r="D145" s="308"/>
      <c r="E145" s="298">
        <v>8.0000000000000002E-3</v>
      </c>
      <c r="F145" s="318">
        <v>4.1000000000000003E-3</v>
      </c>
      <c r="G145" s="298">
        <f>C145/100*E145*D145</f>
        <v>0</v>
      </c>
      <c r="H145" s="310">
        <f>C145/100*F145*D143:D145</f>
        <v>0</v>
      </c>
      <c r="I145" s="311" t="s">
        <v>428</v>
      </c>
    </row>
    <row r="146" spans="1:9" s="344" customFormat="1" hidden="1" x14ac:dyDescent="0.25">
      <c r="A146" s="1069" t="s">
        <v>429</v>
      </c>
      <c r="B146" s="1070"/>
      <c r="C146" s="317">
        <f>'[1]сходові клітки'!C62</f>
        <v>0</v>
      </c>
      <c r="D146" s="308"/>
      <c r="E146" s="320"/>
      <c r="F146" s="321">
        <v>7.7000000000000002E-3</v>
      </c>
      <c r="G146" s="320"/>
      <c r="H146" s="322"/>
      <c r="I146" s="323" t="s">
        <v>430</v>
      </c>
    </row>
    <row r="147" spans="1:9" s="344" customFormat="1" hidden="1" x14ac:dyDescent="0.25">
      <c r="A147" s="1069" t="s">
        <v>431</v>
      </c>
      <c r="B147" s="1070"/>
      <c r="C147" s="317">
        <f>'[1]сходові клітки'!C63</f>
        <v>0</v>
      </c>
      <c r="D147" s="324"/>
      <c r="E147" s="322">
        <v>0.05</v>
      </c>
      <c r="F147" s="321">
        <v>6.8999999999999999E-3</v>
      </c>
      <c r="G147" s="320">
        <f>C147/100*D147*E147</f>
        <v>0</v>
      </c>
      <c r="H147" s="322">
        <f>C147/100*F147*D147</f>
        <v>0</v>
      </c>
      <c r="I147" s="325" t="s">
        <v>432</v>
      </c>
    </row>
    <row r="148" spans="1:9" s="344" customFormat="1" hidden="1" x14ac:dyDescent="0.25">
      <c r="A148" s="1069" t="s">
        <v>433</v>
      </c>
      <c r="B148" s="1070"/>
      <c r="C148" s="317">
        <f>'[1]сходові клітки'!C64</f>
        <v>0</v>
      </c>
      <c r="D148" s="324"/>
      <c r="E148" s="322">
        <v>0.08</v>
      </c>
      <c r="F148" s="321">
        <v>3.2000000000000002E-3</v>
      </c>
      <c r="G148" s="320">
        <f>C148/100*D148*E148</f>
        <v>0</v>
      </c>
      <c r="H148" s="322">
        <f>C148/100*F148*D148</f>
        <v>0</v>
      </c>
      <c r="I148" s="325" t="s">
        <v>434</v>
      </c>
    </row>
    <row r="149" spans="1:9" s="344" customFormat="1" hidden="1" x14ac:dyDescent="0.25">
      <c r="A149" s="1084" t="s">
        <v>435</v>
      </c>
      <c r="B149" s="1085"/>
      <c r="C149" s="317">
        <f>'[1]сходові клітки'!C65</f>
        <v>0</v>
      </c>
      <c r="D149" s="324"/>
      <c r="E149" s="310">
        <v>6.0000000000000001E-3</v>
      </c>
      <c r="F149" s="318">
        <v>2.0000000000000001E-4</v>
      </c>
      <c r="G149" s="298">
        <f>C149/10*D149*E149</f>
        <v>0</v>
      </c>
      <c r="H149" s="310">
        <f>C149/10*F149*D149</f>
        <v>0</v>
      </c>
      <c r="I149" s="319" t="s">
        <v>436</v>
      </c>
    </row>
    <row r="150" spans="1:9" s="344" customFormat="1" hidden="1" x14ac:dyDescent="0.25">
      <c r="A150" s="1086" t="s">
        <v>437</v>
      </c>
      <c r="B150" s="1087"/>
      <c r="C150" s="317">
        <f>'[1]сходові клітки'!C66</f>
        <v>0</v>
      </c>
      <c r="D150" s="308"/>
      <c r="E150" s="298">
        <v>8.0000000000000002E-3</v>
      </c>
      <c r="F150" s="318">
        <v>0</v>
      </c>
      <c r="G150" s="298">
        <f t="shared" ref="G150:G159" si="18">C150/100*D150*E150</f>
        <v>0</v>
      </c>
      <c r="H150" s="310">
        <f t="shared" ref="H150:H159" si="19">C150/100*D150*F150</f>
        <v>0</v>
      </c>
      <c r="I150" s="319" t="str">
        <f>CONCATENATE("1-67-",[1]Расчет!$D$30+1)</f>
        <v>1-67-1</v>
      </c>
    </row>
    <row r="151" spans="1:9" s="344" customFormat="1" hidden="1" x14ac:dyDescent="0.25">
      <c r="A151" s="1086" t="s">
        <v>438</v>
      </c>
      <c r="B151" s="1087"/>
      <c r="C151" s="317">
        <f>'[1]сходові клітки'!C67</f>
        <v>0</v>
      </c>
      <c r="D151" s="308"/>
      <c r="E151" s="310">
        <v>8.0000000000000002E-3</v>
      </c>
      <c r="F151" s="318">
        <v>0</v>
      </c>
      <c r="G151" s="298">
        <f t="shared" si="18"/>
        <v>0</v>
      </c>
      <c r="H151" s="310">
        <f t="shared" si="19"/>
        <v>0</v>
      </c>
      <c r="I151" s="319" t="str">
        <f>CONCATENATE("1-68-",[1]Расчет!$D$30+1)</f>
        <v>1-68-1</v>
      </c>
    </row>
    <row r="152" spans="1:9" s="344" customFormat="1" hidden="1" x14ac:dyDescent="0.25">
      <c r="A152" s="1084" t="s">
        <v>439</v>
      </c>
      <c r="B152" s="1098"/>
      <c r="C152" s="317">
        <f>'[1]сходові клітки'!C68</f>
        <v>0</v>
      </c>
      <c r="D152" s="308"/>
      <c r="E152" s="310">
        <v>8.0000000000000002E-3</v>
      </c>
      <c r="F152" s="318">
        <v>0</v>
      </c>
      <c r="G152" s="298">
        <f t="shared" si="18"/>
        <v>0</v>
      </c>
      <c r="H152" s="310">
        <f t="shared" si="19"/>
        <v>0</v>
      </c>
      <c r="I152" s="319" t="str">
        <f>CONCATENATE("1-69-",IF([1]Расчет!$D$30&lt;=1,1,2))</f>
        <v>1-69-1</v>
      </c>
    </row>
    <row r="153" spans="1:9" s="344" customFormat="1" hidden="1" x14ac:dyDescent="0.25">
      <c r="A153" s="1084" t="s">
        <v>440</v>
      </c>
      <c r="B153" s="1098"/>
      <c r="C153" s="317">
        <f>'[1]сходові клітки'!C69</f>
        <v>0</v>
      </c>
      <c r="D153" s="308"/>
      <c r="E153" s="310">
        <v>0.06</v>
      </c>
      <c r="F153" s="318">
        <v>5.4999999999999997E-3</v>
      </c>
      <c r="G153" s="298">
        <f t="shared" si="18"/>
        <v>0</v>
      </c>
      <c r="H153" s="310">
        <f t="shared" si="19"/>
        <v>0</v>
      </c>
      <c r="I153" s="319" t="str">
        <f>CONCATENATE("1-71-",[1]Расчет!$D$30+1)</f>
        <v>1-71-1</v>
      </c>
    </row>
    <row r="154" spans="1:9" s="344" customFormat="1" hidden="1" x14ac:dyDescent="0.25">
      <c r="A154" s="1099" t="s">
        <v>441</v>
      </c>
      <c r="B154" s="1100"/>
      <c r="C154" s="317">
        <f>'[1]сходові клітки'!C70</f>
        <v>0</v>
      </c>
      <c r="D154" s="324"/>
      <c r="E154" s="322">
        <v>0.06</v>
      </c>
      <c r="F154" s="318">
        <v>5.1999999999999998E-3</v>
      </c>
      <c r="G154" s="320">
        <f t="shared" si="18"/>
        <v>0</v>
      </c>
      <c r="H154" s="322">
        <f t="shared" si="19"/>
        <v>0</v>
      </c>
      <c r="I154" s="325" t="str">
        <f>CONCATENATE("1-72-",[1]Расчет!$D$30+1)</f>
        <v>1-72-1</v>
      </c>
    </row>
    <row r="155" spans="1:9" s="344" customFormat="1" hidden="1" x14ac:dyDescent="0.25">
      <c r="A155" s="1069" t="s">
        <v>442</v>
      </c>
      <c r="B155" s="1070"/>
      <c r="C155" s="317">
        <f>'[1]сходові клітки'!C71</f>
        <v>0</v>
      </c>
      <c r="D155" s="324"/>
      <c r="E155" s="322">
        <v>0.05</v>
      </c>
      <c r="F155" s="321">
        <v>8.6999999999999994E-3</v>
      </c>
      <c r="G155" s="320">
        <f t="shared" si="18"/>
        <v>0</v>
      </c>
      <c r="H155" s="322">
        <f t="shared" si="19"/>
        <v>0</v>
      </c>
      <c r="I155" s="325" t="s">
        <v>443</v>
      </c>
    </row>
    <row r="156" spans="1:9" s="344" customFormat="1" hidden="1" x14ac:dyDescent="0.25">
      <c r="A156" s="1069" t="s">
        <v>444</v>
      </c>
      <c r="B156" s="1089"/>
      <c r="C156" s="317">
        <f>'[1]сходові клітки'!C72</f>
        <v>0</v>
      </c>
      <c r="D156" s="324"/>
      <c r="E156" s="322">
        <v>8.0000000000000002E-3</v>
      </c>
      <c r="F156" s="321">
        <v>0</v>
      </c>
      <c r="G156" s="320">
        <f t="shared" si="18"/>
        <v>0</v>
      </c>
      <c r="H156" s="322">
        <f t="shared" si="19"/>
        <v>0</v>
      </c>
      <c r="I156" s="325" t="s">
        <v>445</v>
      </c>
    </row>
    <row r="157" spans="1:9" s="344" customFormat="1" hidden="1" x14ac:dyDescent="0.25">
      <c r="A157" s="1069" t="s">
        <v>446</v>
      </c>
      <c r="B157" s="1089"/>
      <c r="C157" s="317">
        <f>'[1]сходові клітки'!C73</f>
        <v>0</v>
      </c>
      <c r="D157" s="324"/>
      <c r="E157" s="322">
        <v>0.06</v>
      </c>
      <c r="F157" s="321">
        <v>0</v>
      </c>
      <c r="G157" s="320">
        <f t="shared" si="18"/>
        <v>0</v>
      </c>
      <c r="H157" s="322">
        <f t="shared" si="19"/>
        <v>0</v>
      </c>
      <c r="I157" s="325" t="s">
        <v>447</v>
      </c>
    </row>
    <row r="158" spans="1:9" s="344" customFormat="1" hidden="1" x14ac:dyDescent="0.25">
      <c r="A158" s="1069" t="s">
        <v>448</v>
      </c>
      <c r="B158" s="1089"/>
      <c r="C158" s="317">
        <f>'[1]сходові клітки'!C74</f>
        <v>0</v>
      </c>
      <c r="D158" s="324"/>
      <c r="E158" s="322">
        <v>2.5000000000000001E-2</v>
      </c>
      <c r="F158" s="321">
        <v>5.0000000000000001E-3</v>
      </c>
      <c r="G158" s="320">
        <f t="shared" si="18"/>
        <v>0</v>
      </c>
      <c r="H158" s="322">
        <f t="shared" si="19"/>
        <v>0</v>
      </c>
      <c r="I158" s="325" t="s">
        <v>449</v>
      </c>
    </row>
    <row r="159" spans="1:9" s="344" customFormat="1" hidden="1" x14ac:dyDescent="0.25">
      <c r="A159" s="1069" t="s">
        <v>450</v>
      </c>
      <c r="B159" s="1089"/>
      <c r="C159" s="317">
        <f>'[1]сходові клітки'!C75</f>
        <v>0</v>
      </c>
      <c r="D159" s="324"/>
      <c r="E159" s="322">
        <v>0.06</v>
      </c>
      <c r="F159" s="321">
        <v>6.8999999999999999E-3</v>
      </c>
      <c r="G159" s="320">
        <f t="shared" si="18"/>
        <v>0</v>
      </c>
      <c r="H159" s="322">
        <f t="shared" si="19"/>
        <v>0</v>
      </c>
      <c r="I159" s="325" t="s">
        <v>451</v>
      </c>
    </row>
    <row r="160" spans="1:9" s="344" customFormat="1" hidden="1" x14ac:dyDescent="0.25">
      <c r="A160" s="1090" t="s">
        <v>452</v>
      </c>
      <c r="B160" s="326" t="s">
        <v>102</v>
      </c>
      <c r="C160" s="326"/>
      <c r="D160" s="326"/>
      <c r="E160" s="327"/>
      <c r="F160" s="327"/>
      <c r="G160" s="327">
        <f>SUM(G121:G159)</f>
        <v>0</v>
      </c>
      <c r="H160" s="327">
        <f>SUM(H121:H159)</f>
        <v>0</v>
      </c>
      <c r="I160" s="1093">
        <f>G162+H162</f>
        <v>0</v>
      </c>
    </row>
    <row r="161" spans="1:9" s="344" customFormat="1" hidden="1" x14ac:dyDescent="0.25">
      <c r="A161" s="1091"/>
      <c r="B161" s="326" t="s">
        <v>317</v>
      </c>
      <c r="C161" s="326"/>
      <c r="D161" s="326"/>
      <c r="E161" s="326"/>
      <c r="F161" s="326"/>
      <c r="G161" s="327">
        <f>[1]Расчет!C26</f>
        <v>0</v>
      </c>
      <c r="H161" s="328">
        <v>6</v>
      </c>
      <c r="I161" s="1094"/>
    </row>
    <row r="162" spans="1:9" s="344" customFormat="1" ht="15.75" hidden="1" thickBot="1" x14ac:dyDescent="0.3">
      <c r="A162" s="1092"/>
      <c r="B162" s="329" t="s">
        <v>373</v>
      </c>
      <c r="C162" s="329"/>
      <c r="D162" s="329"/>
      <c r="E162" s="329"/>
      <c r="F162" s="329"/>
      <c r="G162" s="330">
        <f>G160*G161</f>
        <v>0</v>
      </c>
      <c r="H162" s="330">
        <f>H160*H161</f>
        <v>0</v>
      </c>
      <c r="I162" s="1095"/>
    </row>
    <row r="163" spans="1:9" s="344" customFormat="1" hidden="1" x14ac:dyDescent="0.25">
      <c r="A163" s="1096" t="s">
        <v>453</v>
      </c>
      <c r="B163" s="1097"/>
      <c r="C163" s="1097"/>
      <c r="D163" s="1097"/>
      <c r="E163" s="1097"/>
      <c r="F163" s="1097"/>
      <c r="G163" s="1097"/>
      <c r="H163" s="1097"/>
      <c r="I163" s="1097"/>
    </row>
    <row r="164" spans="1:9" s="344" customFormat="1" hidden="1" x14ac:dyDescent="0.25">
      <c r="A164" s="348"/>
      <c r="B164" s="331"/>
      <c r="C164" s="331"/>
      <c r="D164" s="331"/>
      <c r="E164" s="331"/>
      <c r="F164" s="331"/>
      <c r="G164" s="331"/>
      <c r="H164" s="331"/>
      <c r="I164" s="331"/>
    </row>
    <row r="165" spans="1:9" s="344" customFormat="1" hidden="1" x14ac:dyDescent="0.25">
      <c r="A165" s="1110" t="s">
        <v>454</v>
      </c>
      <c r="B165" s="1111"/>
      <c r="C165" s="1111"/>
      <c r="D165" s="1111"/>
      <c r="E165" s="1111"/>
      <c r="F165" s="1111"/>
      <c r="G165" s="1111"/>
      <c r="H165" s="1111"/>
      <c r="I165" s="1111"/>
    </row>
    <row r="166" spans="1:9" s="344" customFormat="1" ht="15.75" hidden="1" thickBot="1" x14ac:dyDescent="0.3">
      <c r="A166" s="348"/>
      <c r="B166" s="331"/>
      <c r="C166" s="331"/>
      <c r="D166" s="331"/>
      <c r="E166" s="331"/>
      <c r="F166" s="331"/>
      <c r="G166" s="331"/>
      <c r="H166" s="331"/>
      <c r="I166" s="331"/>
    </row>
    <row r="167" spans="1:9" s="344" customFormat="1" hidden="1" x14ac:dyDescent="0.25">
      <c r="A167" s="1073" t="s">
        <v>455</v>
      </c>
      <c r="B167" s="1074"/>
      <c r="C167" s="1077" t="s">
        <v>222</v>
      </c>
      <c r="D167" s="1079" t="s">
        <v>223</v>
      </c>
      <c r="E167" s="1080" t="s">
        <v>369</v>
      </c>
      <c r="F167" s="1081"/>
      <c r="G167" s="1115" t="s">
        <v>370</v>
      </c>
      <c r="H167" s="1115"/>
      <c r="I167" s="1116" t="s">
        <v>227</v>
      </c>
    </row>
    <row r="168" spans="1:9" s="344" customFormat="1" ht="25.5" hidden="1" x14ac:dyDescent="0.25">
      <c r="A168" s="1112"/>
      <c r="B168" s="1113"/>
      <c r="C168" s="1114"/>
      <c r="D168" s="1114"/>
      <c r="E168" s="332" t="s">
        <v>371</v>
      </c>
      <c r="F168" s="333" t="s">
        <v>456</v>
      </c>
      <c r="G168" s="332" t="s">
        <v>371</v>
      </c>
      <c r="H168" s="334" t="s">
        <v>456</v>
      </c>
      <c r="I168" s="1094"/>
    </row>
    <row r="169" spans="1:9" s="344" customFormat="1" hidden="1" x14ac:dyDescent="0.25">
      <c r="A169" s="326" t="s">
        <v>457</v>
      </c>
      <c r="B169" s="335"/>
      <c r="C169" s="335"/>
      <c r="D169" s="335"/>
      <c r="E169" s="332"/>
      <c r="F169" s="333"/>
      <c r="G169" s="332"/>
      <c r="H169" s="334"/>
      <c r="I169" s="336"/>
    </row>
    <row r="170" spans="1:9" s="344" customFormat="1" hidden="1" x14ac:dyDescent="0.25">
      <c r="A170" s="1101">
        <f>[1]підвали!A33</f>
        <v>0</v>
      </c>
      <c r="B170" s="1102"/>
      <c r="C170" s="337">
        <f>[1]підвали!C33</f>
        <v>0</v>
      </c>
      <c r="D170" s="338">
        <f>[1]підвали!D33</f>
        <v>970</v>
      </c>
      <c r="E170" s="339">
        <v>5.0000000000000001E-3</v>
      </c>
      <c r="F170" s="340">
        <v>1.2999999999999999E-3</v>
      </c>
      <c r="G170" s="341">
        <f>C170/100*E170*D170</f>
        <v>0</v>
      </c>
      <c r="H170" s="341">
        <f>C170/100*F170*D170</f>
        <v>0</v>
      </c>
      <c r="I170" s="342" t="s">
        <v>458</v>
      </c>
    </row>
    <row r="171" spans="1:9" s="344" customFormat="1" hidden="1" x14ac:dyDescent="0.25">
      <c r="A171" s="1101">
        <f>[1]підвали!A34</f>
        <v>0</v>
      </c>
      <c r="B171" s="1102"/>
      <c r="C171" s="337">
        <f>[1]підвали!C34</f>
        <v>0</v>
      </c>
      <c r="D171" s="338">
        <f>[1]підвали!D34</f>
        <v>0</v>
      </c>
      <c r="E171" s="339">
        <v>5.0000000000000001E-3</v>
      </c>
      <c r="F171" s="340">
        <v>1.6000000000000001E-3</v>
      </c>
      <c r="G171" s="341">
        <f>C171/100*E171*D171</f>
        <v>0</v>
      </c>
      <c r="H171" s="341">
        <f>C171/100*F171*D171</f>
        <v>0</v>
      </c>
      <c r="I171" s="342" t="s">
        <v>459</v>
      </c>
    </row>
    <row r="172" spans="1:9" s="344" customFormat="1" hidden="1" x14ac:dyDescent="0.25">
      <c r="A172" s="1101">
        <f>[1]підвали!A35</f>
        <v>0</v>
      </c>
      <c r="B172" s="1102"/>
      <c r="C172" s="337">
        <f>[1]підвали!C35</f>
        <v>0</v>
      </c>
      <c r="D172" s="338">
        <f>[1]підвали!D35</f>
        <v>0</v>
      </c>
      <c r="E172" s="339">
        <v>5.0000000000000001E-3</v>
      </c>
      <c r="F172" s="340">
        <v>1.9E-3</v>
      </c>
      <c r="G172" s="341">
        <f>C172/100*E172*D172</f>
        <v>0</v>
      </c>
      <c r="H172" s="341">
        <f>C172/100*F172*D172</f>
        <v>0</v>
      </c>
      <c r="I172" s="342" t="s">
        <v>460</v>
      </c>
    </row>
    <row r="173" spans="1:9" s="344" customFormat="1" hidden="1" x14ac:dyDescent="0.25">
      <c r="A173" s="1101">
        <f>[1]підвали!A36</f>
        <v>0</v>
      </c>
      <c r="B173" s="1102"/>
      <c r="C173" s="337">
        <f>[1]підвали!C36</f>
        <v>0</v>
      </c>
      <c r="D173" s="338">
        <f>[1]підвали!D36</f>
        <v>0</v>
      </c>
      <c r="E173" s="339">
        <v>5.0000000000000001E-3</v>
      </c>
      <c r="F173" s="340">
        <v>2.2000000000000001E-3</v>
      </c>
      <c r="G173" s="341">
        <f>C173/100*E173*D173</f>
        <v>0</v>
      </c>
      <c r="H173" s="341">
        <f>C173/100*F173*D173</f>
        <v>0</v>
      </c>
      <c r="I173" s="342" t="s">
        <v>461</v>
      </c>
    </row>
    <row r="174" spans="1:9" s="344" customFormat="1" hidden="1" x14ac:dyDescent="0.25">
      <c r="A174" s="1103"/>
      <c r="B174" s="1104"/>
      <c r="C174" s="1108" t="s">
        <v>102</v>
      </c>
      <c r="D174" s="1109"/>
      <c r="E174" s="332"/>
      <c r="F174" s="332"/>
      <c r="G174" s="299">
        <f>SUM(G170:G173)</f>
        <v>0</v>
      </c>
      <c r="H174" s="299">
        <f>SUM(H170:H173)</f>
        <v>0</v>
      </c>
      <c r="I174" s="1126">
        <f>G176+H176</f>
        <v>0</v>
      </c>
    </row>
    <row r="175" spans="1:9" s="344" customFormat="1" hidden="1" x14ac:dyDescent="0.25">
      <c r="A175" s="1105"/>
      <c r="B175" s="1104"/>
      <c r="C175" s="1108" t="s">
        <v>317</v>
      </c>
      <c r="D175" s="1109"/>
      <c r="E175" s="332"/>
      <c r="F175" s="332"/>
      <c r="G175" s="299">
        <f>[1]Расчет!C26*0</f>
        <v>0</v>
      </c>
      <c r="H175" s="299">
        <v>0</v>
      </c>
      <c r="I175" s="1127"/>
    </row>
    <row r="176" spans="1:9" s="344" customFormat="1" ht="15.75" hidden="1" thickBot="1" x14ac:dyDescent="0.3">
      <c r="A176" s="1106"/>
      <c r="B176" s="1107"/>
      <c r="C176" s="1129" t="s">
        <v>373</v>
      </c>
      <c r="D176" s="1078"/>
      <c r="E176" s="300"/>
      <c r="F176" s="300"/>
      <c r="G176" s="343">
        <f>G174*G175</f>
        <v>0</v>
      </c>
      <c r="H176" s="343">
        <f>H174*H175</f>
        <v>0</v>
      </c>
      <c r="I176" s="1128"/>
    </row>
    <row r="177" spans="1:9" s="344" customFormat="1" hidden="1" x14ac:dyDescent="0.25">
      <c r="A177" s="349"/>
      <c r="B177" s="349"/>
      <c r="C177" s="350"/>
      <c r="D177" s="351"/>
      <c r="E177" s="331"/>
      <c r="F177" s="331"/>
      <c r="G177" s="346"/>
      <c r="H177" s="346"/>
      <c r="I177" s="352"/>
    </row>
    <row r="178" spans="1:9" s="344" customFormat="1" ht="15.75" hidden="1" thickBot="1" x14ac:dyDescent="0.3">
      <c r="A178" s="1110" t="s">
        <v>462</v>
      </c>
      <c r="B178" s="1111"/>
      <c r="C178" s="1111"/>
      <c r="D178" s="1111"/>
      <c r="E178" s="1111"/>
      <c r="F178" s="1111"/>
      <c r="G178" s="1111"/>
      <c r="H178" s="1111"/>
      <c r="I178" s="1111"/>
    </row>
    <row r="179" spans="1:9" s="344" customFormat="1" hidden="1" x14ac:dyDescent="0.25">
      <c r="A179" s="1073" t="s">
        <v>221</v>
      </c>
      <c r="B179" s="1074"/>
      <c r="C179" s="1077" t="s">
        <v>463</v>
      </c>
      <c r="D179" s="1079" t="s">
        <v>368</v>
      </c>
      <c r="E179" s="1130" t="s">
        <v>369</v>
      </c>
      <c r="F179" s="1130"/>
      <c r="G179" s="1131" t="s">
        <v>370</v>
      </c>
      <c r="H179" s="1131"/>
      <c r="I179" s="1116" t="s">
        <v>227</v>
      </c>
    </row>
    <row r="180" spans="1:9" s="344" customFormat="1" ht="15.75" hidden="1" thickBot="1" x14ac:dyDescent="0.3">
      <c r="A180" s="1075"/>
      <c r="B180" s="1076"/>
      <c r="C180" s="1078"/>
      <c r="D180" s="1078"/>
      <c r="E180" s="1117" t="s">
        <v>464</v>
      </c>
      <c r="F180" s="1118"/>
      <c r="G180" s="1117" t="s">
        <v>464</v>
      </c>
      <c r="H180" s="1118"/>
      <c r="I180" s="1132"/>
    </row>
    <row r="181" spans="1:9" s="344" customFormat="1" hidden="1" x14ac:dyDescent="0.25">
      <c r="A181" s="1119" t="s">
        <v>231</v>
      </c>
      <c r="B181" s="1120"/>
      <c r="C181" s="316">
        <f>[1]Снег!C56</f>
        <v>0</v>
      </c>
      <c r="D181" s="312">
        <f>[1]Снег!D56</f>
        <v>0</v>
      </c>
      <c r="E181" s="1121">
        <v>1.4999999999999999E-2</v>
      </c>
      <c r="F181" s="1122"/>
      <c r="G181" s="1121">
        <f xml:space="preserve"> C181/100*D181*E181</f>
        <v>0</v>
      </c>
      <c r="H181" s="1122"/>
      <c r="I181" s="353" t="s">
        <v>465</v>
      </c>
    </row>
    <row r="182" spans="1:9" s="344" customFormat="1" hidden="1" x14ac:dyDescent="0.25">
      <c r="A182" s="1123" t="s">
        <v>232</v>
      </c>
      <c r="B182" s="1104"/>
      <c r="C182" s="317">
        <f>[1]Снег!C57</f>
        <v>0</v>
      </c>
      <c r="D182" s="308">
        <f>[1]Снег!D57</f>
        <v>60</v>
      </c>
      <c r="E182" s="1124">
        <v>1.7000000000000001E-2</v>
      </c>
      <c r="F182" s="1125"/>
      <c r="G182" s="1124">
        <f xml:space="preserve"> C182/100*D182*E182</f>
        <v>0</v>
      </c>
      <c r="H182" s="1125"/>
      <c r="I182" s="354" t="s">
        <v>466</v>
      </c>
    </row>
    <row r="183" spans="1:9" s="344" customFormat="1" hidden="1" x14ac:dyDescent="0.25">
      <c r="A183" s="1123" t="s">
        <v>233</v>
      </c>
      <c r="B183" s="1104"/>
      <c r="C183" s="317">
        <v>0</v>
      </c>
      <c r="D183" s="308">
        <f>[1]Снег!D58</f>
        <v>0</v>
      </c>
      <c r="E183" s="1124">
        <v>0.02</v>
      </c>
      <c r="F183" s="1125"/>
      <c r="G183" s="1124">
        <f xml:space="preserve"> C183/100*D183*E183</f>
        <v>0</v>
      </c>
      <c r="H183" s="1125"/>
      <c r="I183" s="354" t="s">
        <v>467</v>
      </c>
    </row>
    <row r="184" spans="1:9" s="344" customFormat="1" hidden="1" x14ac:dyDescent="0.25">
      <c r="A184" s="1103"/>
      <c r="B184" s="1104"/>
      <c r="C184" s="1108" t="s">
        <v>102</v>
      </c>
      <c r="D184" s="1109"/>
      <c r="E184" s="1136"/>
      <c r="F184" s="1137"/>
      <c r="G184" s="1142">
        <f>SUM(G181:G183)</f>
        <v>0</v>
      </c>
      <c r="H184" s="1143"/>
      <c r="I184" s="1133">
        <f>G186</f>
        <v>0</v>
      </c>
    </row>
    <row r="185" spans="1:9" s="344" customFormat="1" hidden="1" x14ac:dyDescent="0.25">
      <c r="A185" s="1105"/>
      <c r="B185" s="1104"/>
      <c r="C185" s="1108" t="s">
        <v>317</v>
      </c>
      <c r="D185" s="1109"/>
      <c r="E185" s="1136"/>
      <c r="F185" s="1137"/>
      <c r="G185" s="1138">
        <v>197.79</v>
      </c>
      <c r="H185" s="1139"/>
      <c r="I185" s="1134"/>
    </row>
    <row r="186" spans="1:9" s="344" customFormat="1" ht="15.75" hidden="1" thickBot="1" x14ac:dyDescent="0.3">
      <c r="A186" s="1106"/>
      <c r="B186" s="1107"/>
      <c r="C186" s="1129" t="s">
        <v>373</v>
      </c>
      <c r="D186" s="1078"/>
      <c r="E186" s="1117"/>
      <c r="F186" s="1118"/>
      <c r="G186" s="1140">
        <f>G184*G185</f>
        <v>0</v>
      </c>
      <c r="H186" s="1141"/>
      <c r="I186" s="1135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62"/>
  <sheetViews>
    <sheetView topLeftCell="A17" zoomScaleNormal="100" workbookViewId="0">
      <selection activeCell="A32" sqref="A32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44" t="str">
        <f>[1]Таблица_Характеристика!C3</f>
        <v>КП "Житлово-експлуатаційна контора "</v>
      </c>
      <c r="B1" s="1144"/>
      <c r="C1" s="1144"/>
      <c r="D1" s="1144"/>
      <c r="E1" s="1144"/>
      <c r="F1" s="1144"/>
      <c r="G1" s="1144"/>
      <c r="H1" s="1144"/>
      <c r="I1" s="31"/>
      <c r="J1" s="31"/>
      <c r="K1" s="31"/>
      <c r="L1" s="31"/>
    </row>
    <row r="2" spans="1:12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57" t="s">
        <v>178</v>
      </c>
      <c r="K2" s="31"/>
      <c r="L2" s="31"/>
    </row>
    <row r="3" spans="1:12" x14ac:dyDescent="0.25">
      <c r="A3" s="158"/>
      <c r="B3" s="31"/>
      <c r="C3" s="31"/>
      <c r="D3" s="31"/>
      <c r="E3" s="158"/>
      <c r="F3" s="158"/>
      <c r="G3" s="158"/>
      <c r="H3" s="158"/>
      <c r="I3" s="158"/>
      <c r="J3" s="159" t="s">
        <v>179</v>
      </c>
      <c r="K3" s="158"/>
      <c r="L3" s="31"/>
    </row>
    <row r="4" spans="1:12" ht="15.75" x14ac:dyDescent="0.25">
      <c r="A4" s="160" t="s">
        <v>180</v>
      </c>
      <c r="B4" s="31"/>
      <c r="C4" s="31"/>
      <c r="D4" s="31"/>
      <c r="E4" s="160"/>
      <c r="F4" s="160"/>
      <c r="G4" s="158"/>
      <c r="H4" s="158"/>
      <c r="I4" s="158"/>
      <c r="J4" s="158"/>
      <c r="K4" s="158"/>
      <c r="L4" s="31"/>
    </row>
    <row r="5" spans="1:12" ht="61.5" customHeight="1" x14ac:dyDescent="0.25">
      <c r="A5" s="1145" t="s">
        <v>966</v>
      </c>
      <c r="B5" s="1146"/>
      <c r="C5" s="1146"/>
      <c r="D5" s="1146"/>
      <c r="E5" s="1146"/>
      <c r="F5" s="1146"/>
      <c r="G5" s="1146"/>
      <c r="H5" s="1146"/>
      <c r="I5" s="1146"/>
      <c r="J5" s="1146"/>
      <c r="K5" s="1146"/>
      <c r="L5" s="1146"/>
    </row>
    <row r="6" spans="1:12" ht="157.15" customHeight="1" x14ac:dyDescent="0.25">
      <c r="A6" s="1147" t="s">
        <v>181</v>
      </c>
      <c r="B6" s="1148"/>
      <c r="C6" s="1148"/>
      <c r="D6" s="1149"/>
      <c r="E6" s="161" t="s">
        <v>182</v>
      </c>
      <c r="F6" s="1150" t="s">
        <v>972</v>
      </c>
      <c r="G6" s="1151"/>
      <c r="H6" s="162" t="s">
        <v>183</v>
      </c>
      <c r="I6" s="162" t="s">
        <v>184</v>
      </c>
      <c r="J6" s="161" t="s">
        <v>185</v>
      </c>
      <c r="K6" s="161" t="s">
        <v>186</v>
      </c>
      <c r="L6" s="163" t="s">
        <v>187</v>
      </c>
    </row>
    <row r="7" spans="1:12" x14ac:dyDescent="0.25">
      <c r="A7" s="1152" t="s">
        <v>188</v>
      </c>
      <c r="B7" s="1153"/>
      <c r="C7" s="1153"/>
      <c r="D7" s="1154"/>
      <c r="E7" s="164">
        <v>1</v>
      </c>
      <c r="F7" s="1155">
        <f>$D$32</f>
        <v>2677</v>
      </c>
      <c r="G7" s="1156"/>
      <c r="H7" s="165">
        <v>1.8</v>
      </c>
      <c r="I7" s="165">
        <v>1.32</v>
      </c>
      <c r="J7" s="165">
        <f>IF(E7=1,A17,IF(E7=2,B17,IF(E7=3,C17,IF(E7=4,D17,IF(E7=5,E17,F17)))))</f>
        <v>1</v>
      </c>
      <c r="K7" s="165">
        <f>D24</f>
        <v>6700</v>
      </c>
      <c r="L7" s="166" t="s">
        <v>189</v>
      </c>
    </row>
    <row r="8" spans="1:12" x14ac:dyDescent="0.25">
      <c r="A8" s="1152" t="s">
        <v>190</v>
      </c>
      <c r="B8" s="1153"/>
      <c r="C8" s="1153"/>
      <c r="D8" s="1154"/>
      <c r="E8" s="164">
        <v>3</v>
      </c>
      <c r="F8" s="1155">
        <f t="shared" ref="F8:F12" si="0">$D$32</f>
        <v>2677</v>
      </c>
      <c r="G8" s="1156"/>
      <c r="H8" s="165">
        <v>1.8</v>
      </c>
      <c r="I8" s="165">
        <v>1.46</v>
      </c>
      <c r="J8" s="165">
        <v>1.2</v>
      </c>
      <c r="K8" s="165">
        <f>ROUND(F8*H8*I8*J8,0)</f>
        <v>8442</v>
      </c>
      <c r="L8" s="166" t="s">
        <v>189</v>
      </c>
    </row>
    <row r="9" spans="1:12" x14ac:dyDescent="0.25">
      <c r="A9" s="1152" t="s">
        <v>191</v>
      </c>
      <c r="B9" s="1153"/>
      <c r="C9" s="1153"/>
      <c r="D9" s="1154"/>
      <c r="E9" s="164">
        <v>5</v>
      </c>
      <c r="F9" s="1155">
        <f t="shared" si="0"/>
        <v>2677</v>
      </c>
      <c r="G9" s="1156"/>
      <c r="H9" s="165">
        <v>1.8</v>
      </c>
      <c r="I9" s="165">
        <v>1.46</v>
      </c>
      <c r="J9" s="165">
        <v>1.54</v>
      </c>
      <c r="K9" s="165">
        <f t="shared" ref="K9:K12" si="1">ROUND(F9*H9*I9*J9,0)</f>
        <v>10834</v>
      </c>
      <c r="L9" s="166" t="s">
        <v>189</v>
      </c>
    </row>
    <row r="10" spans="1:12" x14ac:dyDescent="0.25">
      <c r="A10" s="1152" t="s">
        <v>192</v>
      </c>
      <c r="B10" s="1153"/>
      <c r="C10" s="1153"/>
      <c r="D10" s="1154"/>
      <c r="E10" s="164">
        <v>5</v>
      </c>
      <c r="F10" s="1155">
        <f t="shared" si="0"/>
        <v>2677</v>
      </c>
      <c r="G10" s="1156"/>
      <c r="H10" s="165">
        <v>1.8</v>
      </c>
      <c r="I10" s="165">
        <v>1.46</v>
      </c>
      <c r="J10" s="165">
        <v>1.54</v>
      </c>
      <c r="K10" s="165">
        <f t="shared" si="1"/>
        <v>10834</v>
      </c>
      <c r="L10" s="166" t="s">
        <v>189</v>
      </c>
    </row>
    <row r="11" spans="1:12" x14ac:dyDescent="0.25">
      <c r="A11" s="1152" t="s">
        <v>193</v>
      </c>
      <c r="B11" s="1153"/>
      <c r="C11" s="1153"/>
      <c r="D11" s="1154"/>
      <c r="E11" s="164">
        <v>5</v>
      </c>
      <c r="F11" s="1155">
        <f t="shared" si="0"/>
        <v>2677</v>
      </c>
      <c r="G11" s="1156"/>
      <c r="H11" s="165">
        <v>1.8</v>
      </c>
      <c r="I11" s="165">
        <v>1.46</v>
      </c>
      <c r="J11" s="165">
        <v>1.54</v>
      </c>
      <c r="K11" s="165">
        <f t="shared" si="1"/>
        <v>10834</v>
      </c>
      <c r="L11" s="166" t="s">
        <v>189</v>
      </c>
    </row>
    <row r="12" spans="1:12" x14ac:dyDescent="0.25">
      <c r="A12" s="1152" t="s">
        <v>190</v>
      </c>
      <c r="B12" s="1153"/>
      <c r="C12" s="1153"/>
      <c r="D12" s="1154"/>
      <c r="E12" s="164">
        <v>5</v>
      </c>
      <c r="F12" s="1155">
        <f t="shared" si="0"/>
        <v>2677</v>
      </c>
      <c r="G12" s="1156"/>
      <c r="H12" s="165">
        <v>1.8</v>
      </c>
      <c r="I12" s="165">
        <v>1.46</v>
      </c>
      <c r="J12" s="165">
        <v>1.54</v>
      </c>
      <c r="K12" s="165">
        <f t="shared" si="1"/>
        <v>10834</v>
      </c>
      <c r="L12" s="166" t="s">
        <v>189</v>
      </c>
    </row>
    <row r="13" spans="1:12" hidden="1" x14ac:dyDescent="0.25">
      <c r="A13" s="1162" t="s">
        <v>194</v>
      </c>
      <c r="B13" s="753"/>
      <c r="C13" s="753"/>
      <c r="D13" s="753"/>
      <c r="E13" s="164"/>
      <c r="F13" s="1163"/>
      <c r="G13" s="1164"/>
      <c r="H13" s="165">
        <v>1.8</v>
      </c>
      <c r="I13" s="165"/>
      <c r="J13" s="165">
        <v>1</v>
      </c>
      <c r="K13" s="165">
        <f>F13*H13*I13*J13</f>
        <v>0</v>
      </c>
      <c r="L13" s="166" t="s">
        <v>195</v>
      </c>
    </row>
    <row r="14" spans="1:12" x14ac:dyDescent="0.25">
      <c r="A14" s="167" t="s">
        <v>196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12" x14ac:dyDescent="0.25">
      <c r="A15" s="31"/>
      <c r="B15" s="31"/>
      <c r="C15" s="167" t="s">
        <v>197</v>
      </c>
      <c r="D15" s="31"/>
      <c r="E15" s="31"/>
      <c r="F15" s="31"/>
      <c r="G15" s="31"/>
      <c r="H15" s="31"/>
      <c r="I15" s="31"/>
      <c r="J15" s="31"/>
      <c r="K15" s="31"/>
      <c r="L15" s="31"/>
    </row>
    <row r="16" spans="1:12" x14ac:dyDescent="0.25">
      <c r="A16" s="168" t="s">
        <v>198</v>
      </c>
      <c r="B16" s="168" t="s">
        <v>199</v>
      </c>
      <c r="C16" s="168" t="s">
        <v>200</v>
      </c>
      <c r="D16" s="168" t="s">
        <v>201</v>
      </c>
      <c r="E16" s="168" t="s">
        <v>202</v>
      </c>
      <c r="F16" s="168" t="s">
        <v>203</v>
      </c>
      <c r="G16" s="31"/>
      <c r="H16" s="31"/>
      <c r="I16" s="31"/>
      <c r="J16" s="31"/>
      <c r="K16" s="31"/>
      <c r="L16" s="31"/>
    </row>
    <row r="17" spans="1:12" x14ac:dyDescent="0.25">
      <c r="A17" s="169">
        <v>1</v>
      </c>
      <c r="B17" s="169">
        <v>1.08</v>
      </c>
      <c r="C17" s="169">
        <v>1.2</v>
      </c>
      <c r="D17" s="169">
        <v>1.35</v>
      </c>
      <c r="E17" s="169">
        <v>1.54</v>
      </c>
      <c r="F17" s="169">
        <v>1.8</v>
      </c>
      <c r="G17" s="31"/>
      <c r="H17" s="31"/>
      <c r="I17" s="31"/>
      <c r="J17" s="31"/>
      <c r="K17" s="31"/>
      <c r="L17" s="31"/>
    </row>
    <row r="18" spans="1:12" x14ac:dyDescent="0.25">
      <c r="A18" s="233" t="s">
        <v>968</v>
      </c>
      <c r="B18" s="233"/>
      <c r="C18" s="233"/>
      <c r="D18" s="233"/>
      <c r="E18" s="233"/>
      <c r="F18" s="233"/>
      <c r="G18" s="233"/>
      <c r="H18" s="233"/>
      <c r="I18" s="233"/>
      <c r="J18" s="233"/>
      <c r="K18" s="233"/>
      <c r="L18" s="233"/>
    </row>
    <row r="19" spans="1:12" x14ac:dyDescent="0.25">
      <c r="A19" s="1157" t="s">
        <v>969</v>
      </c>
      <c r="B19" s="1158"/>
      <c r="C19" s="1158"/>
      <c r="D19" s="1158"/>
      <c r="E19" s="1158"/>
      <c r="F19" s="1158"/>
      <c r="G19" s="233"/>
      <c r="H19" s="233"/>
      <c r="I19" s="233"/>
      <c r="J19" s="233"/>
      <c r="K19" s="233"/>
      <c r="L19" s="233"/>
    </row>
    <row r="20" spans="1:12" ht="30" x14ac:dyDescent="0.25">
      <c r="A20" s="234" t="s">
        <v>278</v>
      </c>
      <c r="B20" s="234" t="s">
        <v>279</v>
      </c>
      <c r="C20" s="663" t="s">
        <v>970</v>
      </c>
      <c r="D20" s="234" t="s">
        <v>281</v>
      </c>
      <c r="G20" s="233"/>
      <c r="H20" s="233"/>
      <c r="I20" s="233"/>
      <c r="J20" s="233"/>
      <c r="K20" s="233"/>
      <c r="L20" s="233"/>
    </row>
    <row r="21" spans="1:12" x14ac:dyDescent="0.25">
      <c r="A21" s="235"/>
      <c r="B21" s="236"/>
      <c r="C21" s="234"/>
      <c r="D21" s="236">
        <f>B21*C21</f>
        <v>0</v>
      </c>
      <c r="G21" s="233"/>
      <c r="H21" s="233"/>
      <c r="I21" s="233"/>
      <c r="J21" s="233"/>
      <c r="K21" s="233"/>
      <c r="L21" s="233"/>
    </row>
    <row r="22" spans="1:12" x14ac:dyDescent="0.25">
      <c r="A22" s="235">
        <v>44866</v>
      </c>
      <c r="B22" s="236">
        <v>6700</v>
      </c>
      <c r="C22" s="234">
        <v>12</v>
      </c>
      <c r="D22" s="236">
        <f>B22*C22</f>
        <v>80400</v>
      </c>
      <c r="G22" s="233"/>
      <c r="H22" s="233"/>
      <c r="I22" s="233"/>
      <c r="J22" s="233"/>
      <c r="K22" s="233"/>
      <c r="L22" s="233"/>
    </row>
    <row r="23" spans="1:12" x14ac:dyDescent="0.25">
      <c r="A23" s="235"/>
      <c r="B23" s="236"/>
      <c r="C23" s="234">
        <f>C21+C22</f>
        <v>12</v>
      </c>
      <c r="D23" s="236">
        <f>D21+D22</f>
        <v>80400</v>
      </c>
      <c r="G23" s="233"/>
      <c r="H23" s="233"/>
      <c r="I23" s="233"/>
      <c r="J23" s="233"/>
      <c r="K23" s="233"/>
      <c r="L23" s="233"/>
    </row>
    <row r="24" spans="1:12" x14ac:dyDescent="0.25">
      <c r="A24" s="1159" t="s">
        <v>971</v>
      </c>
      <c r="B24" s="1160"/>
      <c r="C24" s="1161"/>
      <c r="D24" s="239">
        <f>D23/C23</f>
        <v>6700</v>
      </c>
      <c r="G24" s="233"/>
      <c r="H24" s="233"/>
      <c r="I24" s="233"/>
      <c r="J24" s="233"/>
      <c r="K24" s="233"/>
      <c r="L24" s="233"/>
    </row>
    <row r="25" spans="1:12" x14ac:dyDescent="0.25">
      <c r="A25" s="233" t="s">
        <v>967</v>
      </c>
      <c r="B25" s="233"/>
      <c r="C25" s="233"/>
      <c r="D25" s="233"/>
      <c r="E25" s="233"/>
      <c r="F25" s="233"/>
      <c r="G25" s="233"/>
      <c r="H25" s="233"/>
      <c r="I25" s="233"/>
      <c r="J25" s="233"/>
      <c r="K25" s="233"/>
      <c r="L25" s="233"/>
    </row>
    <row r="26" spans="1:12" x14ac:dyDescent="0.25">
      <c r="A26" s="233" t="s">
        <v>277</v>
      </c>
      <c r="B26" s="233"/>
      <c r="C26" s="233"/>
      <c r="D26" s="233"/>
      <c r="E26" s="233"/>
      <c r="F26" s="233"/>
      <c r="G26" s="233"/>
      <c r="H26" s="233"/>
      <c r="I26" s="233"/>
      <c r="J26" s="233"/>
      <c r="K26" s="233"/>
      <c r="L26" s="233"/>
    </row>
    <row r="27" spans="1:12" x14ac:dyDescent="0.25">
      <c r="A27" s="234" t="s">
        <v>278</v>
      </c>
      <c r="B27" s="234" t="s">
        <v>279</v>
      </c>
      <c r="C27" s="234" t="s">
        <v>280</v>
      </c>
      <c r="D27" s="234" t="s">
        <v>281</v>
      </c>
      <c r="E27" s="233"/>
      <c r="F27" s="233"/>
      <c r="G27" s="233"/>
      <c r="H27" s="233"/>
      <c r="I27" s="233"/>
      <c r="J27" s="233"/>
      <c r="K27" s="233"/>
      <c r="L27" s="233"/>
    </row>
    <row r="28" spans="1:12" ht="16.5" customHeight="1" x14ac:dyDescent="0.25">
      <c r="A28" s="235"/>
      <c r="B28" s="236"/>
      <c r="C28" s="237"/>
      <c r="D28" s="236">
        <f>B28*C28</f>
        <v>0</v>
      </c>
      <c r="E28" s="233"/>
      <c r="F28" s="233"/>
      <c r="G28" s="233"/>
      <c r="H28" s="233"/>
      <c r="I28" s="233"/>
      <c r="J28" s="233"/>
      <c r="K28" s="233"/>
      <c r="L28" s="233"/>
    </row>
    <row r="29" spans="1:12" x14ac:dyDescent="0.25">
      <c r="A29" s="235">
        <v>44866</v>
      </c>
      <c r="B29" s="236">
        <v>2600</v>
      </c>
      <c r="C29" s="237">
        <v>1</v>
      </c>
      <c r="D29" s="236">
        <f t="shared" ref="D29:D30" si="2">B29*C29</f>
        <v>2600</v>
      </c>
      <c r="E29" s="233"/>
      <c r="F29" s="233"/>
      <c r="G29" s="233"/>
      <c r="H29" s="233"/>
      <c r="I29" s="233"/>
      <c r="J29" s="233"/>
      <c r="K29" s="233"/>
      <c r="L29" s="233"/>
    </row>
    <row r="30" spans="1:12" x14ac:dyDescent="0.25">
      <c r="A30" s="235">
        <v>44896</v>
      </c>
      <c r="B30" s="236">
        <v>2684</v>
      </c>
      <c r="C30" s="237">
        <v>11</v>
      </c>
      <c r="D30" s="236">
        <f t="shared" si="2"/>
        <v>29524</v>
      </c>
      <c r="E30" s="233"/>
      <c r="F30" s="233"/>
      <c r="G30" s="233"/>
      <c r="H30" s="233"/>
      <c r="I30" s="233"/>
      <c r="J30" s="233"/>
      <c r="K30" s="233"/>
      <c r="L30" s="233"/>
    </row>
    <row r="31" spans="1:12" x14ac:dyDescent="0.25">
      <c r="A31" s="234"/>
      <c r="B31" s="234"/>
      <c r="C31" s="237">
        <f>SUM(C28:C30)</f>
        <v>12</v>
      </c>
      <c r="D31" s="236">
        <f>SUM(D28:D30)</f>
        <v>32124</v>
      </c>
      <c r="E31" s="233"/>
      <c r="F31" s="233"/>
      <c r="G31" s="233"/>
      <c r="H31" s="233"/>
      <c r="I31" s="233"/>
      <c r="J31" s="233"/>
      <c r="K31" s="233"/>
      <c r="L31" s="233"/>
    </row>
    <row r="32" spans="1:12" x14ac:dyDescent="0.25">
      <c r="A32" s="238" t="s">
        <v>282</v>
      </c>
      <c r="B32" s="238"/>
      <c r="C32" s="238"/>
      <c r="D32" s="239">
        <f>ROUND(D31/C31,2)</f>
        <v>2677</v>
      </c>
      <c r="E32" s="233"/>
      <c r="F32" s="233"/>
      <c r="G32" s="233"/>
      <c r="H32" s="233"/>
      <c r="I32" s="233"/>
      <c r="J32" s="233"/>
      <c r="K32" s="233"/>
      <c r="L32" s="233"/>
    </row>
    <row r="33" spans="1:12" x14ac:dyDescent="0.25">
      <c r="A33" s="233"/>
      <c r="B33" s="233"/>
      <c r="C33" s="233"/>
      <c r="D33" s="233"/>
      <c r="E33" s="233"/>
      <c r="F33" s="233"/>
      <c r="G33" s="233"/>
      <c r="H33" s="233"/>
      <c r="I33" s="233"/>
      <c r="J33" s="233"/>
      <c r="K33" s="233"/>
      <c r="L33" s="233"/>
    </row>
    <row r="34" spans="1:12" x14ac:dyDescent="0.25">
      <c r="A34" s="233"/>
      <c r="B34" s="233"/>
      <c r="C34" s="233"/>
      <c r="D34" s="233"/>
      <c r="E34" s="233"/>
      <c r="F34" s="233"/>
      <c r="G34" s="233"/>
      <c r="H34" s="233"/>
      <c r="I34" s="233"/>
      <c r="J34" s="233"/>
      <c r="K34" s="233"/>
      <c r="L34" s="233"/>
    </row>
    <row r="35" spans="1:12" x14ac:dyDescent="0.25">
      <c r="A35" s="233"/>
      <c r="B35" s="233"/>
      <c r="C35" s="233"/>
      <c r="D35" s="233"/>
      <c r="E35" s="233"/>
      <c r="F35" s="233"/>
      <c r="G35" s="233"/>
      <c r="H35" s="233"/>
      <c r="I35" s="233"/>
      <c r="J35" s="233"/>
      <c r="K35" s="233"/>
      <c r="L35" s="233"/>
    </row>
    <row r="36" spans="1:12" x14ac:dyDescent="0.25">
      <c r="A36" s="233"/>
      <c r="B36" s="233"/>
      <c r="C36" s="233"/>
      <c r="D36" s="233"/>
      <c r="E36" s="233"/>
      <c r="F36" s="233"/>
      <c r="G36" s="233"/>
      <c r="H36" s="233"/>
      <c r="I36" s="233"/>
      <c r="J36" s="233"/>
      <c r="K36" s="233"/>
      <c r="L36" s="233"/>
    </row>
    <row r="37" spans="1:12" x14ac:dyDescent="0.25">
      <c r="A37" s="233"/>
      <c r="B37" s="233"/>
      <c r="C37" s="233"/>
      <c r="D37" s="233"/>
      <c r="E37" s="233"/>
      <c r="F37" s="233"/>
      <c r="G37" s="233"/>
      <c r="H37" s="233"/>
      <c r="I37" s="233"/>
      <c r="J37" s="233"/>
      <c r="K37" s="233"/>
      <c r="L37" s="233"/>
    </row>
    <row r="38" spans="1:12" x14ac:dyDescent="0.25">
      <c r="A38" s="233"/>
      <c r="B38" s="233"/>
      <c r="C38" s="233"/>
      <c r="D38" s="233"/>
      <c r="E38" s="233"/>
      <c r="F38" s="233"/>
      <c r="G38" s="233"/>
      <c r="H38" s="233"/>
      <c r="I38" s="233"/>
      <c r="J38" s="233"/>
      <c r="K38" s="233"/>
      <c r="L38" s="233"/>
    </row>
    <row r="39" spans="1:12" x14ac:dyDescent="0.25">
      <c r="A39" s="233"/>
      <c r="B39" s="233"/>
      <c r="C39" s="233"/>
      <c r="D39" s="233"/>
      <c r="E39" s="233"/>
      <c r="F39" s="233"/>
      <c r="G39" s="233"/>
      <c r="H39" s="233"/>
      <c r="I39" s="233"/>
      <c r="J39" s="233"/>
      <c r="K39" s="233"/>
      <c r="L39" s="233"/>
    </row>
    <row r="40" spans="1:12" x14ac:dyDescent="0.25">
      <c r="A40" s="233"/>
      <c r="B40" s="233"/>
      <c r="C40" s="233"/>
      <c r="D40" s="233"/>
      <c r="E40" s="233"/>
      <c r="F40" s="233"/>
      <c r="G40" s="233"/>
      <c r="H40" s="233"/>
      <c r="I40" s="233"/>
      <c r="J40" s="233"/>
      <c r="K40" s="233"/>
      <c r="L40" s="233"/>
    </row>
    <row r="41" spans="1:12" x14ac:dyDescent="0.25">
      <c r="A41" s="233"/>
      <c r="B41" s="233"/>
      <c r="C41" s="233"/>
      <c r="D41" s="233"/>
      <c r="E41" s="233"/>
      <c r="F41" s="233"/>
      <c r="G41" s="233"/>
      <c r="H41" s="233"/>
      <c r="I41" s="233"/>
      <c r="J41" s="233"/>
      <c r="K41" s="233"/>
      <c r="L41" s="233"/>
    </row>
    <row r="42" spans="1:12" x14ac:dyDescent="0.25">
      <c r="A42" s="233"/>
      <c r="B42" s="233"/>
      <c r="C42" s="233"/>
      <c r="D42" s="233"/>
      <c r="E42" s="233"/>
      <c r="F42" s="233"/>
      <c r="G42" s="233"/>
      <c r="H42" s="233"/>
      <c r="I42" s="233"/>
      <c r="J42" s="233"/>
      <c r="K42" s="233"/>
      <c r="L42" s="233"/>
    </row>
    <row r="43" spans="1:12" x14ac:dyDescent="0.25">
      <c r="A43" s="233"/>
      <c r="B43" s="233"/>
      <c r="C43" s="233"/>
      <c r="D43" s="233"/>
      <c r="E43" s="233"/>
      <c r="F43" s="233"/>
      <c r="G43" s="233"/>
      <c r="H43" s="233"/>
      <c r="I43" s="233"/>
      <c r="J43" s="233"/>
      <c r="K43" s="233"/>
      <c r="L43" s="233"/>
    </row>
    <row r="44" spans="1:12" x14ac:dyDescent="0.25">
      <c r="A44" s="233"/>
      <c r="B44" s="233"/>
      <c r="C44" s="233"/>
      <c r="D44" s="233"/>
      <c r="E44" s="233"/>
      <c r="F44" s="233"/>
      <c r="G44" s="233"/>
      <c r="H44" s="233"/>
      <c r="I44" s="233"/>
      <c r="J44" s="233"/>
      <c r="K44" s="233"/>
      <c r="L44" s="233"/>
    </row>
    <row r="45" spans="1:12" x14ac:dyDescent="0.25">
      <c r="A45" s="233"/>
      <c r="B45" s="233"/>
      <c r="C45" s="233"/>
      <c r="D45" s="233"/>
      <c r="E45" s="233"/>
      <c r="F45" s="233"/>
      <c r="G45" s="233"/>
      <c r="H45" s="233"/>
      <c r="I45" s="233"/>
      <c r="J45" s="233"/>
      <c r="K45" s="233"/>
      <c r="L45" s="233"/>
    </row>
    <row r="46" spans="1:12" x14ac:dyDescent="0.25">
      <c r="A46" s="233"/>
      <c r="B46" s="233"/>
      <c r="C46" s="233"/>
      <c r="D46" s="233"/>
      <c r="E46" s="233"/>
      <c r="F46" s="233"/>
      <c r="G46" s="233"/>
      <c r="H46" s="233"/>
      <c r="I46" s="233"/>
      <c r="J46" s="233"/>
      <c r="K46" s="233"/>
      <c r="L46" s="233"/>
    </row>
    <row r="47" spans="1:12" x14ac:dyDescent="0.25">
      <c r="A47" s="233"/>
      <c r="B47" s="233"/>
      <c r="C47" s="233"/>
      <c r="D47" s="233"/>
      <c r="E47" s="233"/>
      <c r="F47" s="233"/>
      <c r="G47" s="233"/>
      <c r="H47" s="233"/>
      <c r="I47" s="233"/>
      <c r="J47" s="233"/>
      <c r="K47" s="233"/>
      <c r="L47" s="233"/>
    </row>
    <row r="48" spans="1:12" x14ac:dyDescent="0.25">
      <c r="A48" s="233"/>
      <c r="B48" s="233"/>
      <c r="C48" s="233"/>
      <c r="D48" s="233"/>
      <c r="E48" s="233"/>
      <c r="F48" s="233"/>
      <c r="G48" s="233"/>
      <c r="H48" s="233"/>
      <c r="I48" s="233"/>
      <c r="J48" s="233"/>
      <c r="K48" s="233"/>
      <c r="L48" s="233"/>
    </row>
    <row r="49" spans="1:12" x14ac:dyDescent="0.25">
      <c r="A49" s="233"/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</row>
    <row r="50" spans="1:12" x14ac:dyDescent="0.25">
      <c r="A50" s="233"/>
      <c r="B50" s="233"/>
      <c r="C50" s="233"/>
      <c r="D50" s="233"/>
      <c r="E50" s="233"/>
      <c r="F50" s="233"/>
      <c r="G50" s="233"/>
      <c r="H50" s="233"/>
      <c r="I50" s="233"/>
      <c r="J50" s="233"/>
      <c r="K50" s="233"/>
      <c r="L50" s="233"/>
    </row>
    <row r="51" spans="1:12" x14ac:dyDescent="0.25">
      <c r="A51" s="233"/>
      <c r="B51" s="233"/>
      <c r="C51" s="233"/>
      <c r="D51" s="233"/>
      <c r="E51" s="233"/>
      <c r="F51" s="233"/>
      <c r="G51" s="233"/>
      <c r="H51" s="233"/>
      <c r="I51" s="233"/>
      <c r="J51" s="233"/>
      <c r="K51" s="233"/>
      <c r="L51" s="233"/>
    </row>
    <row r="52" spans="1:12" x14ac:dyDescent="0.25">
      <c r="A52" s="233"/>
      <c r="B52" s="233"/>
      <c r="C52" s="233"/>
      <c r="D52" s="233"/>
      <c r="E52" s="233"/>
      <c r="F52" s="233"/>
      <c r="G52" s="233"/>
      <c r="H52" s="233"/>
      <c r="I52" s="233"/>
      <c r="J52" s="233"/>
      <c r="K52" s="233"/>
      <c r="L52" s="233"/>
    </row>
    <row r="53" spans="1:12" x14ac:dyDescent="0.25">
      <c r="A53" s="233"/>
      <c r="B53" s="233"/>
      <c r="C53" s="233"/>
      <c r="D53" s="233"/>
      <c r="E53" s="233"/>
      <c r="F53" s="233"/>
      <c r="G53" s="233"/>
      <c r="H53" s="233"/>
      <c r="I53" s="233"/>
      <c r="J53" s="233"/>
      <c r="K53" s="233"/>
      <c r="L53" s="233"/>
    </row>
    <row r="54" spans="1:12" x14ac:dyDescent="0.25">
      <c r="A54" s="233"/>
      <c r="B54" s="233"/>
      <c r="C54" s="233"/>
      <c r="D54" s="233"/>
      <c r="E54" s="233"/>
      <c r="F54" s="233"/>
      <c r="G54" s="233"/>
      <c r="H54" s="233"/>
      <c r="I54" s="233"/>
      <c r="J54" s="233"/>
      <c r="K54" s="233"/>
      <c r="L54" s="233"/>
    </row>
    <row r="55" spans="1:12" x14ac:dyDescent="0.25">
      <c r="A55" s="233"/>
      <c r="B55" s="233"/>
      <c r="C55" s="233"/>
      <c r="D55" s="233"/>
      <c r="E55" s="233"/>
      <c r="F55" s="233"/>
      <c r="G55" s="233"/>
      <c r="H55" s="233"/>
      <c r="I55" s="233"/>
      <c r="J55" s="233"/>
      <c r="K55" s="233"/>
      <c r="L55" s="233"/>
    </row>
    <row r="56" spans="1:12" x14ac:dyDescent="0.25">
      <c r="A56" s="233"/>
      <c r="B56" s="233"/>
      <c r="C56" s="233"/>
      <c r="D56" s="233"/>
      <c r="E56" s="233"/>
      <c r="F56" s="233"/>
      <c r="G56" s="233"/>
      <c r="H56" s="233"/>
      <c r="I56" s="233"/>
      <c r="J56" s="233"/>
      <c r="K56" s="233"/>
      <c r="L56" s="233"/>
    </row>
    <row r="57" spans="1:12" x14ac:dyDescent="0.25">
      <c r="A57" s="233"/>
      <c r="B57" s="233"/>
      <c r="C57" s="233"/>
      <c r="D57" s="233"/>
      <c r="E57" s="233"/>
      <c r="F57" s="233"/>
      <c r="G57" s="233"/>
      <c r="H57" s="233"/>
      <c r="I57" s="233"/>
      <c r="J57" s="233"/>
      <c r="K57" s="233"/>
      <c r="L57" s="233"/>
    </row>
    <row r="58" spans="1:12" x14ac:dyDescent="0.25">
      <c r="A58" s="233"/>
      <c r="B58" s="233"/>
      <c r="C58" s="233"/>
      <c r="D58" s="233"/>
      <c r="E58" s="233"/>
      <c r="F58" s="233"/>
      <c r="G58" s="233"/>
      <c r="H58" s="233"/>
      <c r="I58" s="233"/>
      <c r="J58" s="233"/>
      <c r="K58" s="233"/>
      <c r="L58" s="233"/>
    </row>
    <row r="59" spans="1:12" x14ac:dyDescent="0.25">
      <c r="A59" s="233"/>
      <c r="B59" s="233"/>
      <c r="C59" s="233"/>
      <c r="D59" s="233"/>
      <c r="E59" s="233"/>
      <c r="F59" s="233"/>
      <c r="G59" s="233"/>
      <c r="H59" s="233"/>
      <c r="I59" s="233"/>
      <c r="J59" s="233"/>
      <c r="K59" s="233"/>
      <c r="L59" s="233"/>
    </row>
    <row r="60" spans="1:12" x14ac:dyDescent="0.25">
      <c r="A60" s="233"/>
      <c r="B60" s="233"/>
      <c r="C60" s="233"/>
      <c r="D60" s="233"/>
      <c r="E60" s="233"/>
      <c r="F60" s="233"/>
      <c r="G60" s="233"/>
      <c r="H60" s="233"/>
      <c r="I60" s="233"/>
      <c r="J60" s="233"/>
      <c r="K60" s="233"/>
      <c r="L60" s="233"/>
    </row>
    <row r="61" spans="1:12" x14ac:dyDescent="0.25">
      <c r="A61" s="233"/>
      <c r="B61" s="233"/>
      <c r="C61" s="233"/>
      <c r="D61" s="233"/>
      <c r="E61" s="233"/>
      <c r="F61" s="233"/>
      <c r="G61" s="233"/>
      <c r="H61" s="233"/>
      <c r="I61" s="233"/>
      <c r="J61" s="233"/>
      <c r="K61" s="233"/>
      <c r="L61" s="233"/>
    </row>
    <row r="62" spans="1:12" x14ac:dyDescent="0.25">
      <c r="A62" s="233"/>
      <c r="B62" s="233"/>
      <c r="C62" s="233"/>
      <c r="D62" s="233"/>
      <c r="E62" s="233"/>
      <c r="F62" s="233"/>
      <c r="G62" s="233"/>
      <c r="H62" s="233"/>
      <c r="I62" s="233"/>
      <c r="J62" s="233"/>
      <c r="K62" s="233"/>
      <c r="L62" s="233"/>
    </row>
    <row r="63" spans="1:12" x14ac:dyDescent="0.25">
      <c r="A63" s="233"/>
      <c r="B63" s="233"/>
      <c r="C63" s="233"/>
      <c r="D63" s="233"/>
      <c r="E63" s="233"/>
      <c r="F63" s="233"/>
      <c r="G63" s="233"/>
      <c r="H63" s="233"/>
      <c r="I63" s="233"/>
      <c r="J63" s="233"/>
      <c r="K63" s="233"/>
      <c r="L63" s="233"/>
    </row>
    <row r="64" spans="1:12" x14ac:dyDescent="0.25">
      <c r="A64" s="233"/>
      <c r="B64" s="233"/>
      <c r="C64" s="233"/>
      <c r="D64" s="233"/>
      <c r="E64" s="233"/>
      <c r="F64" s="233"/>
      <c r="G64" s="233"/>
      <c r="H64" s="233"/>
      <c r="I64" s="233"/>
      <c r="J64" s="233"/>
      <c r="K64" s="233"/>
      <c r="L64" s="233"/>
    </row>
    <row r="65" spans="1:12" x14ac:dyDescent="0.25">
      <c r="A65" s="233"/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</row>
    <row r="66" spans="1:12" x14ac:dyDescent="0.25">
      <c r="A66" s="233"/>
      <c r="B66" s="233"/>
      <c r="C66" s="233"/>
      <c r="D66" s="233"/>
      <c r="E66" s="233"/>
      <c r="F66" s="233"/>
      <c r="G66" s="233"/>
      <c r="H66" s="233"/>
      <c r="I66" s="233"/>
      <c r="J66" s="233"/>
      <c r="K66" s="233"/>
      <c r="L66" s="233"/>
    </row>
    <row r="67" spans="1:12" x14ac:dyDescent="0.25">
      <c r="A67" s="233"/>
      <c r="B67" s="233"/>
      <c r="C67" s="233"/>
      <c r="D67" s="233"/>
      <c r="E67" s="233"/>
      <c r="F67" s="233"/>
      <c r="G67" s="233"/>
      <c r="H67" s="233"/>
      <c r="I67" s="233"/>
      <c r="J67" s="233"/>
      <c r="K67" s="233"/>
      <c r="L67" s="233"/>
    </row>
    <row r="68" spans="1:12" x14ac:dyDescent="0.25">
      <c r="A68" s="233"/>
      <c r="B68" s="233"/>
      <c r="C68" s="233"/>
      <c r="D68" s="233"/>
      <c r="E68" s="233"/>
      <c r="F68" s="233"/>
      <c r="G68" s="233"/>
      <c r="H68" s="233"/>
      <c r="I68" s="233"/>
      <c r="J68" s="233"/>
      <c r="K68" s="233"/>
      <c r="L68" s="233"/>
    </row>
    <row r="69" spans="1:12" x14ac:dyDescent="0.25">
      <c r="A69" s="233"/>
      <c r="B69" s="233"/>
      <c r="C69" s="233"/>
      <c r="D69" s="233"/>
      <c r="E69" s="233"/>
      <c r="F69" s="233"/>
      <c r="G69" s="233"/>
      <c r="H69" s="233"/>
      <c r="I69" s="233"/>
      <c r="J69" s="233"/>
      <c r="K69" s="233"/>
      <c r="L69" s="233"/>
    </row>
    <row r="70" spans="1:12" x14ac:dyDescent="0.25">
      <c r="A70" s="233"/>
      <c r="B70" s="233"/>
      <c r="C70" s="233"/>
      <c r="D70" s="233"/>
      <c r="E70" s="233"/>
      <c r="F70" s="233"/>
      <c r="G70" s="233"/>
      <c r="H70" s="233"/>
      <c r="I70" s="233"/>
      <c r="J70" s="233"/>
      <c r="K70" s="233"/>
      <c r="L70" s="233"/>
    </row>
    <row r="71" spans="1:12" x14ac:dyDescent="0.25">
      <c r="A71" s="233"/>
      <c r="B71" s="233"/>
      <c r="C71" s="233"/>
      <c r="D71" s="233"/>
      <c r="E71" s="233"/>
      <c r="F71" s="233"/>
      <c r="G71" s="233"/>
      <c r="H71" s="233"/>
      <c r="I71" s="233"/>
      <c r="J71" s="233"/>
      <c r="K71" s="233"/>
      <c r="L71" s="233"/>
    </row>
    <row r="72" spans="1:12" x14ac:dyDescent="0.25">
      <c r="A72" s="233"/>
      <c r="B72" s="233"/>
      <c r="C72" s="233"/>
      <c r="D72" s="233"/>
      <c r="E72" s="233"/>
      <c r="F72" s="233"/>
      <c r="G72" s="233"/>
      <c r="H72" s="233"/>
      <c r="I72" s="233"/>
      <c r="J72" s="233"/>
      <c r="K72" s="233"/>
      <c r="L72" s="233"/>
    </row>
    <row r="73" spans="1:12" x14ac:dyDescent="0.25">
      <c r="A73" s="233"/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</row>
    <row r="74" spans="1:12" x14ac:dyDescent="0.25">
      <c r="A74" s="233"/>
      <c r="B74" s="233"/>
      <c r="C74" s="233"/>
      <c r="D74" s="233"/>
      <c r="E74" s="233"/>
      <c r="F74" s="233"/>
      <c r="G74" s="233"/>
      <c r="H74" s="233"/>
      <c r="I74" s="233"/>
      <c r="J74" s="233"/>
      <c r="K74" s="233"/>
      <c r="L74" s="233"/>
    </row>
    <row r="75" spans="1:12" x14ac:dyDescent="0.25">
      <c r="A75" s="233"/>
      <c r="B75" s="233"/>
      <c r="C75" s="233"/>
      <c r="D75" s="233"/>
      <c r="E75" s="233"/>
      <c r="F75" s="233"/>
      <c r="G75" s="233"/>
      <c r="H75" s="233"/>
      <c r="I75" s="233"/>
      <c r="J75" s="233"/>
      <c r="K75" s="233"/>
      <c r="L75" s="233"/>
    </row>
    <row r="76" spans="1:12" x14ac:dyDescent="0.25">
      <c r="A76" s="233"/>
      <c r="B76" s="233"/>
      <c r="C76" s="233"/>
      <c r="D76" s="233"/>
      <c r="E76" s="233"/>
      <c r="F76" s="233"/>
      <c r="G76" s="233"/>
      <c r="H76" s="233"/>
      <c r="I76" s="233"/>
      <c r="J76" s="233"/>
      <c r="K76" s="233"/>
      <c r="L76" s="233"/>
    </row>
    <row r="77" spans="1:12" x14ac:dyDescent="0.25">
      <c r="A77" s="233"/>
      <c r="B77" s="233"/>
      <c r="C77" s="233"/>
      <c r="D77" s="233"/>
      <c r="E77" s="233"/>
      <c r="F77" s="233"/>
      <c r="G77" s="233"/>
      <c r="H77" s="233"/>
      <c r="I77" s="233"/>
      <c r="J77" s="233"/>
      <c r="K77" s="233"/>
      <c r="L77" s="233"/>
    </row>
    <row r="78" spans="1:12" x14ac:dyDescent="0.25">
      <c r="A78" s="233"/>
      <c r="B78" s="233"/>
      <c r="C78" s="233"/>
      <c r="D78" s="233"/>
      <c r="E78" s="233"/>
      <c r="F78" s="233"/>
      <c r="G78" s="233"/>
      <c r="H78" s="233"/>
      <c r="I78" s="233"/>
      <c r="J78" s="233"/>
      <c r="K78" s="233"/>
      <c r="L78" s="233"/>
    </row>
    <row r="79" spans="1:12" x14ac:dyDescent="0.25">
      <c r="A79" s="233"/>
      <c r="B79" s="233"/>
      <c r="C79" s="233"/>
      <c r="D79" s="233"/>
      <c r="E79" s="233"/>
      <c r="F79" s="233"/>
      <c r="G79" s="233"/>
      <c r="H79" s="233"/>
      <c r="I79" s="233"/>
      <c r="J79" s="233"/>
      <c r="K79" s="233"/>
      <c r="L79" s="233"/>
    </row>
    <row r="80" spans="1:12" x14ac:dyDescent="0.25">
      <c r="A80" s="233"/>
      <c r="B80" s="233"/>
      <c r="C80" s="233"/>
      <c r="D80" s="233"/>
      <c r="E80" s="233"/>
      <c r="F80" s="233"/>
      <c r="G80" s="233"/>
      <c r="H80" s="233"/>
      <c r="I80" s="233"/>
      <c r="J80" s="233"/>
      <c r="K80" s="233"/>
      <c r="L80" s="233"/>
    </row>
    <row r="81" spans="1:12" x14ac:dyDescent="0.25">
      <c r="A81" s="233"/>
      <c r="B81" s="233"/>
      <c r="C81" s="233"/>
      <c r="D81" s="233"/>
      <c r="E81" s="233"/>
      <c r="F81" s="233"/>
      <c r="G81" s="233"/>
      <c r="H81" s="233"/>
      <c r="I81" s="233"/>
      <c r="J81" s="233"/>
      <c r="K81" s="233"/>
      <c r="L81" s="233"/>
    </row>
    <row r="82" spans="1:12" x14ac:dyDescent="0.25">
      <c r="A82" s="233"/>
      <c r="B82" s="233"/>
      <c r="C82" s="233"/>
      <c r="D82" s="233"/>
      <c r="E82" s="233"/>
      <c r="F82" s="233"/>
      <c r="G82" s="233"/>
      <c r="H82" s="233"/>
      <c r="I82" s="233"/>
      <c r="J82" s="233"/>
      <c r="K82" s="233"/>
      <c r="L82" s="233"/>
    </row>
    <row r="83" spans="1:12" x14ac:dyDescent="0.25">
      <c r="A83" s="233"/>
      <c r="B83" s="233"/>
      <c r="C83" s="233"/>
      <c r="D83" s="233"/>
      <c r="E83" s="233"/>
      <c r="F83" s="233"/>
      <c r="G83" s="233"/>
      <c r="H83" s="233"/>
      <c r="I83" s="233"/>
      <c r="J83" s="233"/>
      <c r="K83" s="233"/>
      <c r="L83" s="233"/>
    </row>
    <row r="84" spans="1:12" x14ac:dyDescent="0.25">
      <c r="A84" s="233"/>
      <c r="B84" s="233"/>
      <c r="C84" s="233"/>
      <c r="D84" s="233"/>
      <c r="E84" s="233"/>
      <c r="F84" s="233"/>
      <c r="G84" s="233"/>
      <c r="H84" s="233"/>
      <c r="I84" s="233"/>
      <c r="J84" s="233"/>
      <c r="K84" s="233"/>
      <c r="L84" s="233"/>
    </row>
    <row r="85" spans="1:12" x14ac:dyDescent="0.25">
      <c r="A85" s="233"/>
      <c r="B85" s="233"/>
      <c r="C85" s="233"/>
      <c r="D85" s="233"/>
      <c r="E85" s="233"/>
      <c r="F85" s="233"/>
      <c r="G85" s="233"/>
      <c r="H85" s="233"/>
      <c r="I85" s="233"/>
      <c r="J85" s="233"/>
      <c r="K85" s="233"/>
      <c r="L85" s="233"/>
    </row>
    <row r="86" spans="1:12" x14ac:dyDescent="0.25">
      <c r="A86" s="233"/>
      <c r="B86" s="233"/>
      <c r="C86" s="233"/>
      <c r="D86" s="233"/>
      <c r="E86" s="233"/>
      <c r="F86" s="233"/>
      <c r="G86" s="233"/>
      <c r="H86" s="233"/>
      <c r="I86" s="233"/>
      <c r="J86" s="233"/>
      <c r="K86" s="233"/>
      <c r="L86" s="233"/>
    </row>
    <row r="87" spans="1:12" x14ac:dyDescent="0.25">
      <c r="A87" s="233"/>
      <c r="B87" s="233"/>
      <c r="C87" s="233"/>
      <c r="D87" s="233"/>
      <c r="E87" s="233"/>
      <c r="F87" s="233"/>
      <c r="G87" s="233"/>
      <c r="H87" s="233"/>
      <c r="I87" s="233"/>
      <c r="J87" s="233"/>
      <c r="K87" s="233"/>
      <c r="L87" s="233"/>
    </row>
    <row r="88" spans="1:12" x14ac:dyDescent="0.25">
      <c r="A88" s="233"/>
      <c r="B88" s="233"/>
      <c r="C88" s="233"/>
      <c r="D88" s="233"/>
      <c r="E88" s="233"/>
      <c r="F88" s="233"/>
      <c r="G88" s="233"/>
      <c r="H88" s="233"/>
      <c r="I88" s="233"/>
      <c r="J88" s="233"/>
      <c r="K88" s="233"/>
      <c r="L88" s="233"/>
    </row>
    <row r="89" spans="1:12" x14ac:dyDescent="0.25">
      <c r="A89" s="233"/>
      <c r="B89" s="233"/>
      <c r="C89" s="233"/>
      <c r="D89" s="233"/>
      <c r="E89" s="233"/>
      <c r="F89" s="233"/>
      <c r="G89" s="233"/>
      <c r="H89" s="233"/>
      <c r="I89" s="233"/>
      <c r="J89" s="233"/>
      <c r="K89" s="233"/>
      <c r="L89" s="233"/>
    </row>
    <row r="90" spans="1:12" x14ac:dyDescent="0.25">
      <c r="A90" s="233"/>
      <c r="B90" s="233"/>
      <c r="C90" s="233"/>
      <c r="D90" s="233"/>
      <c r="E90" s="233"/>
      <c r="F90" s="233"/>
      <c r="G90" s="233"/>
      <c r="H90" s="233"/>
      <c r="I90" s="233"/>
      <c r="J90" s="233"/>
      <c r="K90" s="233"/>
      <c r="L90" s="233"/>
    </row>
    <row r="91" spans="1:12" x14ac:dyDescent="0.25">
      <c r="A91" s="233"/>
      <c r="B91" s="233"/>
      <c r="C91" s="233"/>
      <c r="D91" s="233"/>
      <c r="E91" s="233"/>
      <c r="F91" s="233"/>
      <c r="G91" s="233"/>
      <c r="H91" s="233"/>
      <c r="I91" s="233"/>
      <c r="J91" s="233"/>
      <c r="K91" s="233"/>
      <c r="L91" s="233"/>
    </row>
    <row r="92" spans="1:12" x14ac:dyDescent="0.25">
      <c r="A92" s="233"/>
      <c r="B92" s="233"/>
      <c r="C92" s="233"/>
      <c r="D92" s="233"/>
      <c r="E92" s="233"/>
      <c r="F92" s="233"/>
      <c r="G92" s="233"/>
      <c r="H92" s="233"/>
      <c r="I92" s="233"/>
      <c r="J92" s="233"/>
      <c r="K92" s="233"/>
      <c r="L92" s="233"/>
    </row>
    <row r="93" spans="1:12" x14ac:dyDescent="0.25">
      <c r="A93" s="233"/>
      <c r="B93" s="233"/>
      <c r="C93" s="233"/>
      <c r="D93" s="233"/>
      <c r="E93" s="233"/>
      <c r="F93" s="233"/>
      <c r="G93" s="233"/>
      <c r="H93" s="233"/>
      <c r="I93" s="233"/>
      <c r="J93" s="233"/>
      <c r="K93" s="233"/>
      <c r="L93" s="233"/>
    </row>
    <row r="94" spans="1:12" x14ac:dyDescent="0.25">
      <c r="A94" s="233"/>
      <c r="B94" s="233"/>
      <c r="C94" s="233"/>
      <c r="D94" s="233"/>
      <c r="E94" s="233"/>
      <c r="F94" s="233"/>
      <c r="G94" s="233"/>
      <c r="H94" s="233"/>
      <c r="I94" s="233"/>
      <c r="J94" s="233"/>
      <c r="K94" s="233"/>
      <c r="L94" s="233"/>
    </row>
    <row r="95" spans="1:12" x14ac:dyDescent="0.25">
      <c r="A95" s="233"/>
      <c r="B95" s="233"/>
      <c r="C95" s="233"/>
      <c r="D95" s="233"/>
      <c r="E95" s="233"/>
      <c r="F95" s="233"/>
      <c r="G95" s="233"/>
      <c r="H95" s="233"/>
      <c r="I95" s="233"/>
      <c r="J95" s="233"/>
      <c r="K95" s="233"/>
      <c r="L95" s="233"/>
    </row>
    <row r="96" spans="1:12" x14ac:dyDescent="0.25">
      <c r="A96" s="233"/>
      <c r="B96" s="233"/>
      <c r="C96" s="233"/>
      <c r="D96" s="233"/>
      <c r="E96" s="233"/>
      <c r="F96" s="233"/>
      <c r="G96" s="233"/>
      <c r="H96" s="233"/>
      <c r="I96" s="233"/>
      <c r="J96" s="233"/>
      <c r="K96" s="233"/>
      <c r="L96" s="233"/>
    </row>
    <row r="97" spans="1:12" x14ac:dyDescent="0.25">
      <c r="A97" s="233"/>
      <c r="B97" s="233"/>
      <c r="C97" s="233"/>
      <c r="D97" s="233"/>
      <c r="E97" s="233"/>
      <c r="F97" s="233"/>
      <c r="G97" s="233"/>
      <c r="H97" s="233"/>
      <c r="I97" s="233"/>
      <c r="J97" s="233"/>
      <c r="K97" s="233"/>
      <c r="L97" s="233"/>
    </row>
    <row r="98" spans="1:12" x14ac:dyDescent="0.25">
      <c r="A98" s="233"/>
      <c r="B98" s="233"/>
      <c r="C98" s="233"/>
      <c r="D98" s="233"/>
      <c r="E98" s="233"/>
      <c r="F98" s="233"/>
      <c r="G98" s="233"/>
      <c r="H98" s="233"/>
      <c r="I98" s="233"/>
      <c r="J98" s="233"/>
      <c r="K98" s="233"/>
      <c r="L98" s="233"/>
    </row>
    <row r="99" spans="1:12" x14ac:dyDescent="0.25">
      <c r="A99" s="233"/>
      <c r="B99" s="233"/>
      <c r="C99" s="233"/>
      <c r="D99" s="233"/>
      <c r="E99" s="233"/>
      <c r="F99" s="233"/>
      <c r="G99" s="233"/>
      <c r="H99" s="233"/>
      <c r="I99" s="233"/>
      <c r="J99" s="233"/>
      <c r="K99" s="233"/>
      <c r="L99" s="233"/>
    </row>
    <row r="100" spans="1:12" x14ac:dyDescent="0.25">
      <c r="A100" s="233"/>
      <c r="B100" s="233"/>
      <c r="C100" s="233"/>
      <c r="D100" s="233"/>
      <c r="E100" s="233"/>
      <c r="F100" s="233"/>
      <c r="G100" s="233"/>
      <c r="H100" s="233"/>
      <c r="I100" s="233"/>
      <c r="J100" s="233"/>
      <c r="K100" s="233"/>
      <c r="L100" s="233"/>
    </row>
    <row r="101" spans="1:12" x14ac:dyDescent="0.25">
      <c r="A101" s="233"/>
      <c r="B101" s="233"/>
      <c r="C101" s="233"/>
      <c r="D101" s="233"/>
      <c r="E101" s="233"/>
      <c r="F101" s="233"/>
      <c r="G101" s="233"/>
      <c r="H101" s="233"/>
      <c r="I101" s="233"/>
      <c r="J101" s="233"/>
      <c r="K101" s="233"/>
      <c r="L101" s="233"/>
    </row>
    <row r="102" spans="1:12" x14ac:dyDescent="0.25">
      <c r="A102" s="233"/>
      <c r="B102" s="233"/>
      <c r="C102" s="233"/>
      <c r="D102" s="233"/>
      <c r="E102" s="233"/>
      <c r="F102" s="233"/>
      <c r="G102" s="233"/>
      <c r="H102" s="233"/>
      <c r="I102" s="233"/>
      <c r="J102" s="233"/>
      <c r="K102" s="233"/>
      <c r="L102" s="233"/>
    </row>
    <row r="103" spans="1:12" x14ac:dyDescent="0.25">
      <c r="A103" s="233"/>
      <c r="B103" s="233"/>
      <c r="C103" s="233"/>
      <c r="D103" s="233"/>
      <c r="E103" s="233"/>
      <c r="F103" s="233"/>
      <c r="G103" s="233"/>
      <c r="H103" s="233"/>
      <c r="I103" s="233"/>
      <c r="J103" s="233"/>
      <c r="K103" s="233"/>
      <c r="L103" s="233"/>
    </row>
    <row r="104" spans="1:12" x14ac:dyDescent="0.25">
      <c r="A104" s="233"/>
      <c r="B104" s="233"/>
      <c r="C104" s="233"/>
      <c r="D104" s="233"/>
      <c r="E104" s="233"/>
      <c r="F104" s="233"/>
      <c r="G104" s="233"/>
      <c r="H104" s="233"/>
      <c r="I104" s="233"/>
      <c r="J104" s="233"/>
      <c r="K104" s="233"/>
      <c r="L104" s="233"/>
    </row>
    <row r="105" spans="1:12" x14ac:dyDescent="0.25">
      <c r="A105" s="233"/>
      <c r="B105" s="233"/>
      <c r="C105" s="233"/>
      <c r="D105" s="233"/>
      <c r="E105" s="233"/>
      <c r="F105" s="233"/>
      <c r="G105" s="233"/>
      <c r="H105" s="233"/>
      <c r="I105" s="233"/>
      <c r="J105" s="233"/>
      <c r="K105" s="233"/>
      <c r="L105" s="233"/>
    </row>
    <row r="106" spans="1:12" x14ac:dyDescent="0.25">
      <c r="A106" s="233"/>
      <c r="B106" s="233"/>
      <c r="C106" s="233"/>
      <c r="D106" s="233"/>
      <c r="E106" s="233"/>
      <c r="F106" s="233"/>
      <c r="G106" s="233"/>
      <c r="H106" s="233"/>
      <c r="I106" s="233"/>
      <c r="J106" s="233"/>
      <c r="K106" s="233"/>
      <c r="L106" s="233"/>
    </row>
    <row r="107" spans="1:12" x14ac:dyDescent="0.25">
      <c r="A107" s="233"/>
      <c r="B107" s="233"/>
      <c r="C107" s="233"/>
      <c r="D107" s="233"/>
      <c r="E107" s="233"/>
      <c r="F107" s="233"/>
      <c r="G107" s="233"/>
      <c r="H107" s="233"/>
      <c r="I107" s="233"/>
      <c r="J107" s="233"/>
      <c r="K107" s="233"/>
      <c r="L107" s="233"/>
    </row>
    <row r="108" spans="1:12" x14ac:dyDescent="0.25">
      <c r="A108" s="233"/>
      <c r="B108" s="233"/>
      <c r="C108" s="233"/>
      <c r="D108" s="233"/>
      <c r="E108" s="233"/>
      <c r="F108" s="233"/>
      <c r="G108" s="233"/>
      <c r="H108" s="233"/>
      <c r="I108" s="233"/>
      <c r="J108" s="233"/>
      <c r="K108" s="233"/>
      <c r="L108" s="233"/>
    </row>
    <row r="109" spans="1:12" x14ac:dyDescent="0.25">
      <c r="A109" s="233"/>
      <c r="B109" s="233"/>
      <c r="C109" s="233"/>
      <c r="D109" s="233"/>
      <c r="E109" s="233"/>
      <c r="F109" s="233"/>
      <c r="G109" s="233"/>
      <c r="H109" s="233"/>
      <c r="I109" s="233"/>
      <c r="J109" s="233"/>
      <c r="K109" s="233"/>
      <c r="L109" s="233"/>
    </row>
    <row r="110" spans="1:12" x14ac:dyDescent="0.25">
      <c r="A110" s="233"/>
      <c r="B110" s="233"/>
      <c r="C110" s="233"/>
      <c r="D110" s="233"/>
      <c r="E110" s="233"/>
      <c r="F110" s="233"/>
      <c r="G110" s="233"/>
      <c r="H110" s="233"/>
      <c r="I110" s="233"/>
      <c r="J110" s="233"/>
      <c r="K110" s="233"/>
      <c r="L110" s="233"/>
    </row>
    <row r="111" spans="1:12" x14ac:dyDescent="0.25">
      <c r="A111" s="233"/>
      <c r="B111" s="233"/>
      <c r="C111" s="233"/>
      <c r="D111" s="233"/>
      <c r="E111" s="233"/>
      <c r="F111" s="233"/>
      <c r="G111" s="233"/>
      <c r="H111" s="233"/>
      <c r="I111" s="233"/>
      <c r="J111" s="233"/>
      <c r="K111" s="233"/>
      <c r="L111" s="233"/>
    </row>
    <row r="112" spans="1:12" x14ac:dyDescent="0.25">
      <c r="A112" s="233"/>
      <c r="B112" s="233"/>
      <c r="C112" s="233"/>
      <c r="D112" s="233"/>
      <c r="E112" s="233"/>
      <c r="F112" s="233"/>
      <c r="G112" s="233"/>
      <c r="H112" s="233"/>
      <c r="I112" s="233"/>
      <c r="J112" s="233"/>
      <c r="K112" s="233"/>
      <c r="L112" s="233"/>
    </row>
    <row r="113" spans="1:12" x14ac:dyDescent="0.25">
      <c r="A113" s="233"/>
      <c r="B113" s="233"/>
      <c r="C113" s="233"/>
      <c r="D113" s="233"/>
      <c r="E113" s="233"/>
      <c r="F113" s="233"/>
      <c r="G113" s="233"/>
      <c r="H113" s="233"/>
      <c r="I113" s="233"/>
      <c r="J113" s="233"/>
      <c r="K113" s="233"/>
      <c r="L113" s="233"/>
    </row>
    <row r="114" spans="1:12" x14ac:dyDescent="0.25">
      <c r="A114" s="233"/>
      <c r="B114" s="233"/>
      <c r="C114" s="233"/>
      <c r="D114" s="233"/>
      <c r="E114" s="233"/>
      <c r="F114" s="233"/>
      <c r="G114" s="233"/>
      <c r="H114" s="233"/>
      <c r="I114" s="233"/>
      <c r="J114" s="233"/>
      <c r="K114" s="233"/>
      <c r="L114" s="233"/>
    </row>
    <row r="115" spans="1:12" x14ac:dyDescent="0.25">
      <c r="A115" s="233"/>
      <c r="B115" s="233"/>
      <c r="C115" s="233"/>
      <c r="D115" s="233"/>
      <c r="E115" s="233"/>
      <c r="F115" s="233"/>
      <c r="G115" s="233"/>
      <c r="H115" s="233"/>
      <c r="I115" s="233"/>
      <c r="J115" s="233"/>
      <c r="K115" s="233"/>
      <c r="L115" s="233"/>
    </row>
    <row r="116" spans="1:12" x14ac:dyDescent="0.25">
      <c r="A116" s="233"/>
      <c r="B116" s="233"/>
      <c r="C116" s="233"/>
      <c r="D116" s="233"/>
      <c r="E116" s="233"/>
      <c r="F116" s="233"/>
      <c r="G116" s="233"/>
      <c r="H116" s="233"/>
      <c r="I116" s="233"/>
      <c r="J116" s="233"/>
      <c r="K116" s="233"/>
      <c r="L116" s="233"/>
    </row>
    <row r="117" spans="1:12" x14ac:dyDescent="0.25">
      <c r="A117" s="233"/>
      <c r="B117" s="233"/>
      <c r="C117" s="233"/>
      <c r="D117" s="233"/>
      <c r="E117" s="233"/>
      <c r="F117" s="233"/>
      <c r="G117" s="233"/>
      <c r="H117" s="233"/>
      <c r="I117" s="233"/>
      <c r="J117" s="233"/>
      <c r="K117" s="233"/>
      <c r="L117" s="233"/>
    </row>
    <row r="118" spans="1:12" x14ac:dyDescent="0.25">
      <c r="A118" s="233"/>
      <c r="B118" s="233"/>
      <c r="C118" s="233"/>
      <c r="D118" s="233"/>
      <c r="E118" s="233"/>
      <c r="F118" s="233"/>
      <c r="G118" s="233"/>
      <c r="H118" s="233"/>
      <c r="I118" s="233"/>
      <c r="J118" s="233"/>
      <c r="K118" s="233"/>
      <c r="L118" s="233"/>
    </row>
    <row r="119" spans="1:12" x14ac:dyDescent="0.25">
      <c r="A119" s="233"/>
      <c r="B119" s="233"/>
      <c r="C119" s="233"/>
      <c r="D119" s="233"/>
      <c r="E119" s="233"/>
      <c r="F119" s="233"/>
      <c r="G119" s="233"/>
      <c r="H119" s="233"/>
      <c r="I119" s="233"/>
      <c r="J119" s="233"/>
      <c r="K119" s="233"/>
      <c r="L119" s="233"/>
    </row>
    <row r="120" spans="1:12" x14ac:dyDescent="0.25">
      <c r="A120" s="233"/>
      <c r="B120" s="233"/>
      <c r="C120" s="233"/>
      <c r="D120" s="233"/>
      <c r="E120" s="233"/>
      <c r="F120" s="233"/>
      <c r="G120" s="233"/>
      <c r="H120" s="233"/>
      <c r="I120" s="233"/>
      <c r="J120" s="233"/>
      <c r="K120" s="233"/>
      <c r="L120" s="233"/>
    </row>
    <row r="121" spans="1:12" x14ac:dyDescent="0.25">
      <c r="A121" s="233"/>
      <c r="B121" s="233"/>
      <c r="C121" s="233"/>
      <c r="D121" s="233"/>
      <c r="E121" s="233"/>
      <c r="F121" s="233"/>
      <c r="G121" s="233"/>
      <c r="H121" s="233"/>
      <c r="I121" s="233"/>
      <c r="J121" s="233"/>
      <c r="K121" s="233"/>
      <c r="L121" s="233"/>
    </row>
    <row r="122" spans="1:12" x14ac:dyDescent="0.25">
      <c r="A122" s="233"/>
      <c r="B122" s="233"/>
      <c r="C122" s="233"/>
      <c r="D122" s="233"/>
      <c r="E122" s="233"/>
      <c r="F122" s="233"/>
      <c r="G122" s="233"/>
      <c r="H122" s="233"/>
      <c r="I122" s="233"/>
      <c r="J122" s="233"/>
      <c r="K122" s="233"/>
      <c r="L122" s="233"/>
    </row>
    <row r="123" spans="1:12" x14ac:dyDescent="0.25">
      <c r="A123" s="233"/>
      <c r="B123" s="233"/>
      <c r="C123" s="233"/>
      <c r="D123" s="233"/>
      <c r="E123" s="233"/>
      <c r="F123" s="233"/>
      <c r="G123" s="233"/>
      <c r="H123" s="233"/>
      <c r="I123" s="233"/>
      <c r="J123" s="233"/>
      <c r="K123" s="233"/>
      <c r="L123" s="233"/>
    </row>
    <row r="124" spans="1:12" x14ac:dyDescent="0.25">
      <c r="A124" s="233"/>
      <c r="B124" s="233"/>
      <c r="C124" s="233"/>
      <c r="D124" s="233"/>
      <c r="E124" s="233"/>
      <c r="F124" s="233"/>
      <c r="G124" s="233"/>
      <c r="H124" s="233"/>
      <c r="I124" s="233"/>
      <c r="J124" s="233"/>
      <c r="K124" s="233"/>
      <c r="L124" s="233"/>
    </row>
    <row r="125" spans="1:12" x14ac:dyDescent="0.25">
      <c r="A125" s="233"/>
      <c r="B125" s="233"/>
      <c r="C125" s="233"/>
      <c r="D125" s="233"/>
      <c r="E125" s="233"/>
      <c r="F125" s="233"/>
      <c r="G125" s="233"/>
      <c r="H125" s="233"/>
      <c r="I125" s="233"/>
      <c r="J125" s="233"/>
      <c r="K125" s="233"/>
      <c r="L125" s="233"/>
    </row>
    <row r="126" spans="1:12" x14ac:dyDescent="0.25">
      <c r="A126" s="233"/>
      <c r="B126" s="233"/>
      <c r="C126" s="233"/>
      <c r="D126" s="233"/>
      <c r="E126" s="233"/>
      <c r="F126" s="233"/>
      <c r="G126" s="233"/>
      <c r="H126" s="233"/>
      <c r="I126" s="233"/>
      <c r="J126" s="233"/>
      <c r="K126" s="233"/>
      <c r="L126" s="233"/>
    </row>
    <row r="127" spans="1:12" x14ac:dyDescent="0.25">
      <c r="A127" s="233"/>
      <c r="B127" s="233"/>
      <c r="C127" s="233"/>
      <c r="D127" s="233"/>
      <c r="E127" s="233"/>
      <c r="F127" s="233"/>
      <c r="G127" s="233"/>
      <c r="H127" s="233"/>
      <c r="I127" s="233"/>
      <c r="J127" s="233"/>
      <c r="K127" s="233"/>
      <c r="L127" s="233"/>
    </row>
    <row r="128" spans="1:12" x14ac:dyDescent="0.25">
      <c r="A128" s="233"/>
      <c r="B128" s="233"/>
      <c r="C128" s="233"/>
      <c r="D128" s="233"/>
      <c r="E128" s="233"/>
      <c r="F128" s="233"/>
      <c r="G128" s="233"/>
      <c r="H128" s="233"/>
      <c r="I128" s="233"/>
      <c r="J128" s="233"/>
      <c r="K128" s="233"/>
      <c r="L128" s="233"/>
    </row>
    <row r="129" spans="1:12" x14ac:dyDescent="0.25">
      <c r="A129" s="233"/>
      <c r="B129" s="233"/>
      <c r="C129" s="233"/>
      <c r="D129" s="233"/>
      <c r="E129" s="233"/>
      <c r="F129" s="233"/>
      <c r="G129" s="233"/>
      <c r="H129" s="233"/>
      <c r="I129" s="233"/>
      <c r="J129" s="233"/>
      <c r="K129" s="233"/>
      <c r="L129" s="233"/>
    </row>
    <row r="130" spans="1:12" x14ac:dyDescent="0.25">
      <c r="A130" s="233"/>
      <c r="B130" s="233"/>
      <c r="C130" s="233"/>
      <c r="D130" s="233"/>
      <c r="E130" s="233"/>
      <c r="F130" s="233"/>
      <c r="G130" s="233"/>
      <c r="H130" s="233"/>
      <c r="I130" s="233"/>
      <c r="J130" s="233"/>
      <c r="K130" s="233"/>
      <c r="L130" s="233"/>
    </row>
    <row r="131" spans="1:12" x14ac:dyDescent="0.25">
      <c r="A131" s="233"/>
      <c r="B131" s="233"/>
      <c r="C131" s="233"/>
      <c r="D131" s="233"/>
      <c r="E131" s="233"/>
      <c r="F131" s="233"/>
      <c r="G131" s="233"/>
      <c r="H131" s="233"/>
      <c r="I131" s="233"/>
      <c r="J131" s="233"/>
      <c r="K131" s="233"/>
      <c r="L131" s="233"/>
    </row>
    <row r="132" spans="1:12" x14ac:dyDescent="0.25">
      <c r="A132" s="233"/>
      <c r="B132" s="233"/>
      <c r="C132" s="233"/>
      <c r="D132" s="233"/>
      <c r="E132" s="233"/>
      <c r="F132" s="233"/>
      <c r="G132" s="233"/>
      <c r="H132" s="233"/>
      <c r="I132" s="233"/>
      <c r="J132" s="233"/>
      <c r="K132" s="233"/>
      <c r="L132" s="233"/>
    </row>
    <row r="133" spans="1:12" x14ac:dyDescent="0.25">
      <c r="A133" s="233"/>
      <c r="B133" s="233"/>
      <c r="C133" s="233"/>
      <c r="D133" s="233"/>
      <c r="E133" s="233"/>
      <c r="F133" s="233"/>
      <c r="G133" s="233"/>
      <c r="H133" s="233"/>
      <c r="I133" s="233"/>
      <c r="J133" s="233"/>
      <c r="K133" s="233"/>
      <c r="L133" s="233"/>
    </row>
    <row r="134" spans="1:12" x14ac:dyDescent="0.25">
      <c r="A134" s="233"/>
      <c r="B134" s="233"/>
      <c r="C134" s="233"/>
      <c r="D134" s="233"/>
      <c r="E134" s="233"/>
      <c r="F134" s="233"/>
      <c r="G134" s="233"/>
      <c r="H134" s="233"/>
      <c r="I134" s="233"/>
      <c r="J134" s="233"/>
      <c r="K134" s="233"/>
      <c r="L134" s="233"/>
    </row>
    <row r="135" spans="1:12" x14ac:dyDescent="0.25">
      <c r="A135" s="233"/>
      <c r="B135" s="233"/>
      <c r="C135" s="233"/>
      <c r="D135" s="233"/>
      <c r="E135" s="233"/>
      <c r="F135" s="233"/>
      <c r="G135" s="233"/>
      <c r="H135" s="233"/>
      <c r="I135" s="233"/>
      <c r="J135" s="233"/>
      <c r="K135" s="233"/>
      <c r="L135" s="233"/>
    </row>
    <row r="136" spans="1:12" x14ac:dyDescent="0.25">
      <c r="A136" s="233"/>
      <c r="B136" s="233"/>
      <c r="C136" s="233"/>
      <c r="D136" s="233"/>
      <c r="E136" s="233"/>
      <c r="F136" s="233"/>
      <c r="G136" s="233"/>
      <c r="H136" s="233"/>
      <c r="I136" s="233"/>
      <c r="J136" s="233"/>
      <c r="K136" s="233"/>
      <c r="L136" s="233"/>
    </row>
    <row r="137" spans="1:12" x14ac:dyDescent="0.25">
      <c r="A137" s="233"/>
      <c r="B137" s="233"/>
      <c r="C137" s="233"/>
      <c r="D137" s="233"/>
      <c r="E137" s="233"/>
      <c r="F137" s="233"/>
      <c r="G137" s="233"/>
      <c r="H137" s="233"/>
      <c r="I137" s="233"/>
      <c r="J137" s="233"/>
      <c r="K137" s="233"/>
      <c r="L137" s="233"/>
    </row>
    <row r="138" spans="1:12" x14ac:dyDescent="0.25">
      <c r="A138" s="233"/>
      <c r="B138" s="233"/>
      <c r="C138" s="233"/>
      <c r="D138" s="233"/>
      <c r="E138" s="233"/>
      <c r="F138" s="233"/>
      <c r="G138" s="233"/>
      <c r="H138" s="233"/>
      <c r="I138" s="233"/>
      <c r="J138" s="233"/>
      <c r="K138" s="233"/>
      <c r="L138" s="233"/>
    </row>
    <row r="139" spans="1:12" x14ac:dyDescent="0.25">
      <c r="A139" s="233"/>
      <c r="B139" s="233"/>
      <c r="C139" s="233"/>
      <c r="D139" s="233"/>
      <c r="E139" s="233"/>
      <c r="F139" s="233"/>
      <c r="G139" s="233"/>
      <c r="H139" s="233"/>
      <c r="I139" s="233"/>
      <c r="J139" s="233"/>
      <c r="K139" s="233"/>
      <c r="L139" s="233"/>
    </row>
    <row r="140" spans="1:12" x14ac:dyDescent="0.25">
      <c r="A140" s="233"/>
      <c r="B140" s="233"/>
      <c r="C140" s="233"/>
      <c r="D140" s="233"/>
      <c r="E140" s="233"/>
      <c r="F140" s="233"/>
      <c r="G140" s="233"/>
      <c r="H140" s="233"/>
      <c r="I140" s="233"/>
      <c r="J140" s="233"/>
      <c r="K140" s="233"/>
      <c r="L140" s="233"/>
    </row>
    <row r="141" spans="1:12" x14ac:dyDescent="0.25">
      <c r="A141" s="233"/>
      <c r="B141" s="233"/>
      <c r="C141" s="233"/>
      <c r="D141" s="233"/>
      <c r="E141" s="233"/>
      <c r="F141" s="233"/>
      <c r="G141" s="233"/>
      <c r="H141" s="233"/>
      <c r="I141" s="233"/>
      <c r="J141" s="233"/>
      <c r="K141" s="233"/>
      <c r="L141" s="233"/>
    </row>
    <row r="142" spans="1:12" x14ac:dyDescent="0.25">
      <c r="A142" s="233"/>
      <c r="B142" s="233"/>
      <c r="C142" s="233"/>
      <c r="D142" s="233"/>
      <c r="E142" s="233"/>
      <c r="F142" s="233"/>
      <c r="G142" s="233"/>
      <c r="H142" s="233"/>
      <c r="I142" s="233"/>
      <c r="J142" s="233"/>
      <c r="K142" s="233"/>
      <c r="L142" s="233"/>
    </row>
    <row r="143" spans="1:12" x14ac:dyDescent="0.25">
      <c r="A143" s="233"/>
      <c r="B143" s="233"/>
      <c r="C143" s="233"/>
      <c r="D143" s="233"/>
      <c r="E143" s="233"/>
      <c r="F143" s="233"/>
      <c r="G143" s="233"/>
      <c r="H143" s="233"/>
      <c r="I143" s="233"/>
      <c r="J143" s="233"/>
      <c r="K143" s="233"/>
      <c r="L143" s="233"/>
    </row>
    <row r="144" spans="1:12" x14ac:dyDescent="0.25">
      <c r="A144" s="233"/>
      <c r="B144" s="233"/>
      <c r="C144" s="233"/>
      <c r="D144" s="233"/>
      <c r="E144" s="233"/>
      <c r="F144" s="233"/>
      <c r="G144" s="233"/>
      <c r="H144" s="233"/>
      <c r="I144" s="233"/>
      <c r="J144" s="233"/>
      <c r="K144" s="233"/>
      <c r="L144" s="233"/>
    </row>
    <row r="145" spans="1:12" x14ac:dyDescent="0.25">
      <c r="A145" s="233"/>
      <c r="B145" s="233"/>
      <c r="C145" s="233"/>
      <c r="D145" s="233"/>
      <c r="E145" s="233"/>
      <c r="F145" s="233"/>
      <c r="G145" s="233"/>
      <c r="H145" s="233"/>
      <c r="I145" s="233"/>
      <c r="J145" s="233"/>
      <c r="K145" s="233"/>
      <c r="L145" s="233"/>
    </row>
    <row r="146" spans="1:12" x14ac:dyDescent="0.25">
      <c r="A146" s="233"/>
      <c r="B146" s="233"/>
      <c r="C146" s="233"/>
      <c r="D146" s="233"/>
      <c r="E146" s="233"/>
      <c r="F146" s="233"/>
      <c r="G146" s="233"/>
      <c r="H146" s="233"/>
      <c r="I146" s="233"/>
      <c r="J146" s="233"/>
      <c r="K146" s="233"/>
      <c r="L146" s="233"/>
    </row>
    <row r="147" spans="1:12" x14ac:dyDescent="0.25">
      <c r="A147" s="233"/>
      <c r="B147" s="233"/>
      <c r="C147" s="233"/>
      <c r="D147" s="233"/>
      <c r="E147" s="233"/>
      <c r="F147" s="233"/>
      <c r="G147" s="233"/>
      <c r="H147" s="233"/>
      <c r="I147" s="233"/>
      <c r="J147" s="233"/>
      <c r="K147" s="233"/>
      <c r="L147" s="233"/>
    </row>
    <row r="148" spans="1:12" x14ac:dyDescent="0.25">
      <c r="A148" s="233"/>
      <c r="B148" s="233"/>
      <c r="C148" s="233"/>
      <c r="D148" s="233"/>
      <c r="E148" s="233"/>
      <c r="F148" s="233"/>
      <c r="G148" s="233"/>
      <c r="H148" s="233"/>
      <c r="I148" s="233"/>
      <c r="J148" s="233"/>
      <c r="K148" s="233"/>
      <c r="L148" s="233"/>
    </row>
    <row r="149" spans="1:12" x14ac:dyDescent="0.25">
      <c r="A149" s="233"/>
      <c r="B149" s="233"/>
      <c r="C149" s="233"/>
      <c r="D149" s="233"/>
      <c r="E149" s="233"/>
      <c r="F149" s="233"/>
      <c r="G149" s="233"/>
      <c r="H149" s="233"/>
      <c r="I149" s="233"/>
      <c r="J149" s="233"/>
      <c r="K149" s="233"/>
      <c r="L149" s="233"/>
    </row>
    <row r="150" spans="1:12" x14ac:dyDescent="0.25">
      <c r="A150" s="233"/>
      <c r="B150" s="233"/>
      <c r="C150" s="233"/>
      <c r="D150" s="233"/>
      <c r="E150" s="233"/>
      <c r="F150" s="233"/>
      <c r="G150" s="233"/>
      <c r="H150" s="233"/>
      <c r="I150" s="233"/>
      <c r="J150" s="233"/>
      <c r="K150" s="233"/>
      <c r="L150" s="233"/>
    </row>
    <row r="151" spans="1:12" x14ac:dyDescent="0.25">
      <c r="A151" s="233"/>
      <c r="B151" s="233"/>
      <c r="C151" s="233"/>
      <c r="D151" s="233"/>
      <c r="E151" s="233"/>
      <c r="F151" s="233"/>
      <c r="G151" s="233"/>
      <c r="H151" s="233"/>
      <c r="I151" s="233"/>
      <c r="J151" s="233"/>
      <c r="K151" s="233"/>
      <c r="L151" s="233"/>
    </row>
    <row r="152" spans="1:12" x14ac:dyDescent="0.25">
      <c r="A152" s="233"/>
      <c r="B152" s="233"/>
      <c r="C152" s="233"/>
      <c r="D152" s="233"/>
      <c r="E152" s="233"/>
      <c r="F152" s="233"/>
      <c r="G152" s="233"/>
      <c r="H152" s="233"/>
      <c r="I152" s="233"/>
      <c r="J152" s="233"/>
      <c r="K152" s="233"/>
      <c r="L152" s="233"/>
    </row>
    <row r="153" spans="1:12" x14ac:dyDescent="0.25">
      <c r="A153" s="233"/>
      <c r="B153" s="233"/>
      <c r="C153" s="233"/>
      <c r="D153" s="233"/>
      <c r="E153" s="233"/>
      <c r="F153" s="233"/>
      <c r="G153" s="233"/>
      <c r="H153" s="233"/>
      <c r="I153" s="233"/>
      <c r="J153" s="233"/>
      <c r="K153" s="233"/>
      <c r="L153" s="233"/>
    </row>
    <row r="154" spans="1:12" x14ac:dyDescent="0.25">
      <c r="A154" s="233"/>
      <c r="B154" s="233"/>
      <c r="C154" s="233"/>
      <c r="D154" s="233"/>
      <c r="E154" s="233"/>
      <c r="F154" s="233"/>
      <c r="G154" s="233"/>
      <c r="H154" s="233"/>
      <c r="I154" s="233"/>
      <c r="J154" s="233"/>
      <c r="K154" s="233"/>
      <c r="L154" s="233"/>
    </row>
    <row r="155" spans="1:12" x14ac:dyDescent="0.25">
      <c r="A155" s="233"/>
      <c r="B155" s="233"/>
      <c r="C155" s="233"/>
      <c r="D155" s="233"/>
      <c r="E155" s="233"/>
      <c r="F155" s="233"/>
      <c r="G155" s="233"/>
      <c r="H155" s="233"/>
      <c r="I155" s="233"/>
      <c r="J155" s="233"/>
      <c r="K155" s="233"/>
      <c r="L155" s="233"/>
    </row>
    <row r="156" spans="1:12" x14ac:dyDescent="0.25">
      <c r="A156" s="233"/>
      <c r="B156" s="233"/>
      <c r="C156" s="233"/>
      <c r="D156" s="233"/>
      <c r="E156" s="233"/>
      <c r="F156" s="233"/>
      <c r="G156" s="233"/>
      <c r="H156" s="233"/>
      <c r="I156" s="233"/>
      <c r="J156" s="233"/>
      <c r="K156" s="233"/>
      <c r="L156" s="233"/>
    </row>
    <row r="157" spans="1:12" x14ac:dyDescent="0.25">
      <c r="A157" s="233"/>
      <c r="B157" s="233"/>
      <c r="C157" s="233"/>
      <c r="D157" s="233"/>
      <c r="E157" s="233"/>
      <c r="F157" s="233"/>
      <c r="G157" s="233"/>
      <c r="H157" s="233"/>
      <c r="I157" s="233"/>
      <c r="J157" s="233"/>
      <c r="K157" s="233"/>
      <c r="L157" s="233"/>
    </row>
    <row r="158" spans="1:12" x14ac:dyDescent="0.25">
      <c r="A158" s="233"/>
      <c r="B158" s="233"/>
      <c r="C158" s="233"/>
      <c r="D158" s="233"/>
      <c r="E158" s="233"/>
      <c r="F158" s="233"/>
      <c r="G158" s="233"/>
      <c r="H158" s="233"/>
      <c r="I158" s="233"/>
      <c r="J158" s="233"/>
      <c r="K158" s="233"/>
      <c r="L158" s="233"/>
    </row>
    <row r="159" spans="1:12" x14ac:dyDescent="0.25">
      <c r="A159" s="233"/>
      <c r="B159" s="233"/>
      <c r="C159" s="233"/>
      <c r="D159" s="233"/>
      <c r="E159" s="233"/>
      <c r="F159" s="233"/>
      <c r="G159" s="233"/>
      <c r="H159" s="233"/>
      <c r="I159" s="233"/>
      <c r="J159" s="233"/>
      <c r="K159" s="233"/>
      <c r="L159" s="233"/>
    </row>
    <row r="160" spans="1:12" x14ac:dyDescent="0.25">
      <c r="A160" s="233"/>
      <c r="B160" s="233"/>
      <c r="C160" s="233"/>
      <c r="D160" s="233"/>
      <c r="E160" s="233"/>
      <c r="F160" s="233"/>
      <c r="G160" s="233"/>
      <c r="H160" s="233"/>
      <c r="I160" s="233"/>
      <c r="J160" s="233"/>
      <c r="K160" s="233"/>
      <c r="L160" s="233"/>
    </row>
    <row r="161" spans="1:12" x14ac:dyDescent="0.25">
      <c r="A161" s="233"/>
      <c r="B161" s="233"/>
      <c r="C161" s="233"/>
      <c r="D161" s="233"/>
      <c r="E161" s="233"/>
      <c r="F161" s="233"/>
      <c r="G161" s="233"/>
      <c r="H161" s="233"/>
      <c r="I161" s="233"/>
      <c r="J161" s="233"/>
      <c r="K161" s="233"/>
      <c r="L161" s="233"/>
    </row>
    <row r="162" spans="1:12" x14ac:dyDescent="0.25">
      <c r="A162" s="233"/>
      <c r="B162" s="233"/>
      <c r="C162" s="233"/>
      <c r="D162" s="233"/>
      <c r="E162" s="233"/>
      <c r="F162" s="233"/>
      <c r="G162" s="233"/>
      <c r="H162" s="233"/>
      <c r="I162" s="233"/>
      <c r="J162" s="233"/>
      <c r="K162" s="233"/>
      <c r="L162" s="233"/>
    </row>
  </sheetData>
  <mergeCells count="20">
    <mergeCell ref="A19:F19"/>
    <mergeCell ref="A24:C24"/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view="pageBreakPreview" topLeftCell="A9" zoomScale="86" zoomScaleNormal="100" zoomScaleSheetLayoutView="86" workbookViewId="0">
      <selection activeCell="D13" sqref="D13"/>
    </sheetView>
  </sheetViews>
  <sheetFormatPr defaultRowHeight="15" x14ac:dyDescent="0.25"/>
  <cols>
    <col min="1" max="1" width="8.42578125" customWidth="1"/>
    <col min="3" max="3" width="45.140625" customWidth="1"/>
    <col min="4" max="4" width="16.28515625" customWidth="1"/>
  </cols>
  <sheetData>
    <row r="1" spans="1:5" x14ac:dyDescent="0.25">
      <c r="A1" s="139"/>
      <c r="B1" s="1174" t="s">
        <v>150</v>
      </c>
      <c r="C1" s="1175"/>
      <c r="D1" s="1175"/>
      <c r="E1" s="140"/>
    </row>
    <row r="2" spans="1:5" x14ac:dyDescent="0.25">
      <c r="A2" s="139"/>
      <c r="B2" s="1176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     Шевченка      47</v>
      </c>
      <c r="C2" s="1176"/>
      <c r="D2" s="1176"/>
      <c r="E2" s="1176"/>
    </row>
    <row r="3" spans="1:5" ht="45.6" hidden="1" customHeight="1" x14ac:dyDescent="0.25">
      <c r="A3" s="141">
        <v>1</v>
      </c>
      <c r="B3" s="1170" t="s">
        <v>151</v>
      </c>
      <c r="C3" s="1171"/>
      <c r="D3" s="142"/>
      <c r="E3" s="143" t="s">
        <v>152</v>
      </c>
    </row>
    <row r="4" spans="1:5" ht="53.45" hidden="1" customHeight="1" x14ac:dyDescent="0.25">
      <c r="A4" s="141">
        <v>2</v>
      </c>
      <c r="B4" s="1170" t="s">
        <v>153</v>
      </c>
      <c r="C4" s="1171"/>
      <c r="D4" s="142"/>
      <c r="E4" s="143" t="s">
        <v>152</v>
      </c>
    </row>
    <row r="5" spans="1:5" ht="30" hidden="1" customHeight="1" x14ac:dyDescent="0.25">
      <c r="A5" s="141">
        <v>3</v>
      </c>
      <c r="B5" s="1170" t="s">
        <v>154</v>
      </c>
      <c r="C5" s="1171"/>
      <c r="D5" s="142"/>
      <c r="E5" s="143" t="s">
        <v>152</v>
      </c>
    </row>
    <row r="6" spans="1:5" ht="57.6" hidden="1" customHeight="1" x14ac:dyDescent="0.25">
      <c r="A6" s="141">
        <v>4</v>
      </c>
      <c r="B6" s="1170" t="s">
        <v>155</v>
      </c>
      <c r="C6" s="1171"/>
      <c r="D6" s="142"/>
      <c r="E6" s="143" t="s">
        <v>152</v>
      </c>
    </row>
    <row r="7" spans="1:5" hidden="1" x14ac:dyDescent="0.25">
      <c r="A7" s="141">
        <v>6</v>
      </c>
      <c r="B7" s="1170" t="s">
        <v>156</v>
      </c>
      <c r="C7" s="1171"/>
      <c r="D7" s="142">
        <f>[1]Таблица_Характеристика!J26</f>
        <v>0</v>
      </c>
      <c r="E7" s="143" t="s">
        <v>152</v>
      </c>
    </row>
    <row r="8" spans="1:5" hidden="1" x14ac:dyDescent="0.25">
      <c r="A8" s="141">
        <v>7</v>
      </c>
      <c r="B8" s="1170" t="s">
        <v>157</v>
      </c>
      <c r="C8" s="1171"/>
      <c r="D8" s="142"/>
      <c r="E8" s="143" t="s">
        <v>152</v>
      </c>
    </row>
    <row r="9" spans="1:5" x14ac:dyDescent="0.25">
      <c r="A9" s="141">
        <v>1</v>
      </c>
      <c r="B9" s="1170" t="s">
        <v>176</v>
      </c>
      <c r="C9" s="1171"/>
      <c r="D9" s="144">
        <v>1750</v>
      </c>
      <c r="E9" s="143" t="s">
        <v>152</v>
      </c>
    </row>
    <row r="10" spans="1:5" x14ac:dyDescent="0.25">
      <c r="A10" s="141">
        <v>2</v>
      </c>
      <c r="B10" s="1172" t="s">
        <v>909</v>
      </c>
      <c r="C10" s="1173"/>
      <c r="D10" s="664">
        <f>100+296+350+380+380+300+3600+160-3340-60-4.56</f>
        <v>2161.44</v>
      </c>
      <c r="E10" s="143" t="s">
        <v>910</v>
      </c>
    </row>
    <row r="11" spans="1:5" x14ac:dyDescent="0.25">
      <c r="A11" s="141">
        <v>3</v>
      </c>
      <c r="B11" s="1172" t="s">
        <v>912</v>
      </c>
      <c r="C11" s="1173"/>
      <c r="D11" s="664">
        <f>100+296+350+380+380+300+3600+160-4.56</f>
        <v>5561.44</v>
      </c>
      <c r="E11" s="143" t="s">
        <v>910</v>
      </c>
    </row>
    <row r="12" spans="1:5" x14ac:dyDescent="0.25">
      <c r="A12" s="141">
        <v>4</v>
      </c>
      <c r="B12" s="1172" t="s">
        <v>933</v>
      </c>
      <c r="C12" s="1173"/>
      <c r="D12" s="144">
        <f>60+160+200+1840</f>
        <v>2260</v>
      </c>
      <c r="E12" s="143" t="s">
        <v>910</v>
      </c>
    </row>
    <row r="13" spans="1:5" x14ac:dyDescent="0.25">
      <c r="A13" s="141">
        <v>5</v>
      </c>
      <c r="B13" s="1172" t="s">
        <v>934</v>
      </c>
      <c r="C13" s="1173"/>
      <c r="D13" s="144">
        <f>1440+640</f>
        <v>2080</v>
      </c>
      <c r="E13" s="143" t="s">
        <v>910</v>
      </c>
    </row>
    <row r="14" spans="1:5" x14ac:dyDescent="0.25">
      <c r="A14" s="141">
        <v>6</v>
      </c>
      <c r="B14" s="1172" t="s">
        <v>911</v>
      </c>
      <c r="C14" s="1173"/>
      <c r="D14" s="144">
        <f>216+56+2+32+2-4</f>
        <v>304</v>
      </c>
      <c r="E14" s="143" t="s">
        <v>159</v>
      </c>
    </row>
    <row r="15" spans="1:5" x14ac:dyDescent="0.25">
      <c r="A15" s="141">
        <v>7</v>
      </c>
      <c r="B15" s="1172" t="s">
        <v>913</v>
      </c>
      <c r="C15" s="1173"/>
      <c r="D15" s="144">
        <v>10</v>
      </c>
      <c r="E15" s="143" t="s">
        <v>159</v>
      </c>
    </row>
    <row r="16" spans="1:5" x14ac:dyDescent="0.25">
      <c r="A16" s="141">
        <v>8</v>
      </c>
      <c r="B16" s="1172" t="s">
        <v>914</v>
      </c>
      <c r="C16" s="1173"/>
      <c r="D16" s="144">
        <v>16</v>
      </c>
      <c r="E16" s="143" t="s">
        <v>159</v>
      </c>
    </row>
    <row r="17" spans="1:5" x14ac:dyDescent="0.25">
      <c r="A17" s="141">
        <v>9</v>
      </c>
      <c r="B17" s="1172" t="s">
        <v>915</v>
      </c>
      <c r="C17" s="1173"/>
      <c r="D17" s="144">
        <v>0</v>
      </c>
      <c r="E17" s="143" t="s">
        <v>159</v>
      </c>
    </row>
    <row r="18" spans="1:5" x14ac:dyDescent="0.25">
      <c r="A18" s="141">
        <v>10</v>
      </c>
      <c r="B18" s="1172" t="s">
        <v>916</v>
      </c>
      <c r="C18" s="1173"/>
      <c r="D18" s="144">
        <v>48</v>
      </c>
      <c r="E18" s="143" t="s">
        <v>917</v>
      </c>
    </row>
    <row r="19" spans="1:5" x14ac:dyDescent="0.25">
      <c r="A19" s="141">
        <v>11</v>
      </c>
      <c r="B19" s="1172" t="s">
        <v>918</v>
      </c>
      <c r="C19" s="1173"/>
      <c r="D19" s="144">
        <v>16</v>
      </c>
      <c r="E19" s="143" t="s">
        <v>917</v>
      </c>
    </row>
    <row r="20" spans="1:5" x14ac:dyDescent="0.25">
      <c r="A20" s="141">
        <v>12</v>
      </c>
      <c r="B20" s="1172" t="s">
        <v>919</v>
      </c>
      <c r="C20" s="1173"/>
      <c r="D20" s="144">
        <v>16</v>
      </c>
      <c r="E20" s="143" t="s">
        <v>917</v>
      </c>
    </row>
    <row r="21" spans="1:5" x14ac:dyDescent="0.25">
      <c r="A21" s="141">
        <v>13</v>
      </c>
      <c r="B21" s="1172" t="s">
        <v>920</v>
      </c>
      <c r="C21" s="1173"/>
      <c r="D21" s="144">
        <v>24</v>
      </c>
      <c r="E21" s="143" t="s">
        <v>917</v>
      </c>
    </row>
    <row r="22" spans="1:5" x14ac:dyDescent="0.25">
      <c r="A22" s="141">
        <v>14</v>
      </c>
      <c r="B22" s="1172" t="s">
        <v>598</v>
      </c>
      <c r="C22" s="1173"/>
      <c r="D22" s="144">
        <v>5</v>
      </c>
      <c r="E22" s="143" t="s">
        <v>917</v>
      </c>
    </row>
    <row r="23" spans="1:5" x14ac:dyDescent="0.25">
      <c r="A23" s="141">
        <v>15</v>
      </c>
      <c r="B23" s="1172" t="s">
        <v>806</v>
      </c>
      <c r="C23" s="1173"/>
      <c r="D23" s="144">
        <v>3</v>
      </c>
      <c r="E23" s="143" t="s">
        <v>921</v>
      </c>
    </row>
    <row r="24" spans="1:5" x14ac:dyDescent="0.25">
      <c r="A24" s="141">
        <v>16</v>
      </c>
      <c r="B24" s="1172" t="s">
        <v>815</v>
      </c>
      <c r="C24" s="1173"/>
      <c r="D24" s="144">
        <v>72</v>
      </c>
      <c r="E24" s="143" t="s">
        <v>921</v>
      </c>
    </row>
    <row r="25" spans="1:5" x14ac:dyDescent="0.25">
      <c r="A25" s="141">
        <v>17</v>
      </c>
      <c r="B25" s="1172" t="s">
        <v>922</v>
      </c>
      <c r="C25" s="1173"/>
      <c r="D25" s="144">
        <v>3</v>
      </c>
      <c r="E25" s="143" t="s">
        <v>921</v>
      </c>
    </row>
    <row r="26" spans="1:5" ht="28.9" customHeight="1" x14ac:dyDescent="0.25">
      <c r="A26" s="141">
        <v>18</v>
      </c>
      <c r="B26" s="1172" t="s">
        <v>828</v>
      </c>
      <c r="C26" s="1173"/>
      <c r="D26" s="144">
        <v>21</v>
      </c>
      <c r="E26" s="143" t="s">
        <v>910</v>
      </c>
    </row>
    <row r="27" spans="1:5" ht="30.6" customHeight="1" x14ac:dyDescent="0.25">
      <c r="A27" s="141">
        <v>19</v>
      </c>
      <c r="B27" s="1172" t="s">
        <v>832</v>
      </c>
      <c r="C27" s="1173"/>
      <c r="D27" s="144">
        <v>17</v>
      </c>
      <c r="E27" s="143" t="s">
        <v>910</v>
      </c>
    </row>
    <row r="28" spans="1:5" x14ac:dyDescent="0.25">
      <c r="A28" s="141">
        <v>20</v>
      </c>
      <c r="B28" s="1172" t="s">
        <v>867</v>
      </c>
      <c r="C28" s="1173"/>
      <c r="D28" s="144">
        <v>160</v>
      </c>
      <c r="E28" s="143" t="s">
        <v>159</v>
      </c>
    </row>
    <row r="29" spans="1:5" x14ac:dyDescent="0.25">
      <c r="A29" s="141">
        <v>21</v>
      </c>
      <c r="B29" s="1172" t="s">
        <v>926</v>
      </c>
      <c r="C29" s="1173"/>
      <c r="D29" s="144">
        <v>8</v>
      </c>
      <c r="E29" s="143" t="s">
        <v>159</v>
      </c>
    </row>
    <row r="30" spans="1:5" x14ac:dyDescent="0.25">
      <c r="A30" s="141">
        <v>22</v>
      </c>
      <c r="B30" s="1172" t="s">
        <v>923</v>
      </c>
      <c r="C30" s="1173"/>
      <c r="D30" s="144">
        <v>8</v>
      </c>
      <c r="E30" s="143" t="s">
        <v>159</v>
      </c>
    </row>
    <row r="31" spans="1:5" x14ac:dyDescent="0.25">
      <c r="A31" s="141">
        <v>23</v>
      </c>
      <c r="B31" s="1172" t="s">
        <v>924</v>
      </c>
      <c r="C31" s="1173"/>
      <c r="D31" s="144">
        <v>25</v>
      </c>
      <c r="E31" s="143" t="s">
        <v>159</v>
      </c>
    </row>
    <row r="32" spans="1:5" x14ac:dyDescent="0.25">
      <c r="A32" s="141">
        <v>24</v>
      </c>
      <c r="B32" s="1172" t="s">
        <v>851</v>
      </c>
      <c r="C32" s="1173"/>
      <c r="D32" s="144">
        <v>3</v>
      </c>
      <c r="E32" s="143" t="s">
        <v>159</v>
      </c>
    </row>
    <row r="33" spans="1:5" x14ac:dyDescent="0.25">
      <c r="A33" s="141">
        <v>25</v>
      </c>
      <c r="B33" s="1172" t="s">
        <v>855</v>
      </c>
      <c r="C33" s="1173"/>
      <c r="D33" s="144">
        <v>6</v>
      </c>
      <c r="E33" s="143" t="s">
        <v>159</v>
      </c>
    </row>
    <row r="34" spans="1:5" x14ac:dyDescent="0.25">
      <c r="A34" s="141">
        <v>26</v>
      </c>
      <c r="B34" s="1172" t="s">
        <v>858</v>
      </c>
      <c r="C34" s="1173"/>
      <c r="D34" s="144">
        <v>26</v>
      </c>
      <c r="E34" s="143" t="s">
        <v>159</v>
      </c>
    </row>
    <row r="35" spans="1:5" hidden="1" x14ac:dyDescent="0.25">
      <c r="A35" s="141">
        <v>27</v>
      </c>
      <c r="B35" s="1172" t="s">
        <v>861</v>
      </c>
      <c r="C35" s="1173"/>
      <c r="D35" s="144"/>
      <c r="E35" s="143" t="s">
        <v>159</v>
      </c>
    </row>
    <row r="36" spans="1:5" x14ac:dyDescent="0.25">
      <c r="A36" s="141">
        <v>28</v>
      </c>
      <c r="B36" s="1172" t="s">
        <v>864</v>
      </c>
      <c r="C36" s="1173"/>
      <c r="D36" s="144">
        <v>720</v>
      </c>
      <c r="E36" s="143" t="s">
        <v>925</v>
      </c>
    </row>
    <row r="37" spans="1:5" ht="27.6" customHeight="1" x14ac:dyDescent="0.25">
      <c r="A37" s="141">
        <v>29</v>
      </c>
      <c r="B37" s="1170" t="s">
        <v>158</v>
      </c>
      <c r="C37" s="1171"/>
      <c r="D37" s="142">
        <f>Характеристика!H44</f>
        <v>325</v>
      </c>
      <c r="E37" s="143" t="s">
        <v>152</v>
      </c>
    </row>
    <row r="38" spans="1:5" hidden="1" x14ac:dyDescent="0.25">
      <c r="A38" s="141">
        <v>30</v>
      </c>
      <c r="B38" s="1170" t="s">
        <v>160</v>
      </c>
      <c r="C38" s="1171"/>
      <c r="D38" s="144">
        <v>1100</v>
      </c>
      <c r="E38" s="143" t="s">
        <v>159</v>
      </c>
    </row>
    <row r="39" spans="1:5" x14ac:dyDescent="0.25">
      <c r="A39" s="141">
        <v>30</v>
      </c>
      <c r="B39" s="1170" t="s">
        <v>161</v>
      </c>
      <c r="C39" s="1171"/>
      <c r="D39" s="144">
        <v>5000</v>
      </c>
      <c r="E39" s="143" t="s">
        <v>159</v>
      </c>
    </row>
    <row r="40" spans="1:5" ht="28.15" customHeight="1" x14ac:dyDescent="0.25">
      <c r="A40" s="155">
        <v>31</v>
      </c>
      <c r="B40" s="1169" t="s">
        <v>162</v>
      </c>
      <c r="C40" s="1166"/>
      <c r="D40" s="145">
        <v>22</v>
      </c>
      <c r="E40" s="146" t="s">
        <v>163</v>
      </c>
    </row>
    <row r="41" spans="1:5" x14ac:dyDescent="0.25">
      <c r="A41" s="155">
        <v>32</v>
      </c>
      <c r="B41" s="147" t="s">
        <v>177</v>
      </c>
      <c r="C41" s="147"/>
      <c r="D41" s="145">
        <v>20</v>
      </c>
      <c r="E41" s="146" t="s">
        <v>163</v>
      </c>
    </row>
    <row r="42" spans="1:5" x14ac:dyDescent="0.25">
      <c r="A42" s="155">
        <v>33</v>
      </c>
      <c r="B42" s="148" t="s">
        <v>164</v>
      </c>
      <c r="C42" s="149"/>
      <c r="D42" s="145">
        <v>10</v>
      </c>
      <c r="E42" s="146" t="s">
        <v>163</v>
      </c>
    </row>
    <row r="43" spans="1:5" x14ac:dyDescent="0.25">
      <c r="A43" s="155">
        <v>34</v>
      </c>
      <c r="B43" s="1167" t="s">
        <v>165</v>
      </c>
      <c r="C43" s="1168"/>
      <c r="D43" s="150">
        <v>2022</v>
      </c>
      <c r="E43" s="146"/>
    </row>
    <row r="44" spans="1:5" x14ac:dyDescent="0.25">
      <c r="A44" s="155">
        <v>35</v>
      </c>
      <c r="B44" s="1167" t="s">
        <v>166</v>
      </c>
      <c r="C44" s="1168"/>
      <c r="D44" s="150">
        <v>247</v>
      </c>
      <c r="E44" s="146" t="s">
        <v>167</v>
      </c>
    </row>
    <row r="45" spans="1:5" x14ac:dyDescent="0.25">
      <c r="A45" s="155">
        <v>36</v>
      </c>
      <c r="B45" s="1167" t="s">
        <v>288</v>
      </c>
      <c r="C45" s="1168"/>
      <c r="D45" s="150">
        <v>301</v>
      </c>
      <c r="E45" s="146" t="s">
        <v>167</v>
      </c>
    </row>
    <row r="46" spans="1:5" x14ac:dyDescent="0.25">
      <c r="A46" s="155">
        <v>37</v>
      </c>
      <c r="B46" s="1167" t="s">
        <v>168</v>
      </c>
      <c r="C46" s="1168"/>
      <c r="D46" s="150">
        <v>1987</v>
      </c>
      <c r="E46" s="146" t="s">
        <v>169</v>
      </c>
    </row>
    <row r="47" spans="1:5" x14ac:dyDescent="0.25">
      <c r="A47" s="155">
        <v>38</v>
      </c>
      <c r="B47" s="1169" t="s">
        <v>170</v>
      </c>
      <c r="C47" s="1166"/>
      <c r="D47" s="145">
        <f>оклади!D32</f>
        <v>2677</v>
      </c>
      <c r="E47" s="146" t="s">
        <v>171</v>
      </c>
    </row>
    <row r="48" spans="1:5" hidden="1" x14ac:dyDescent="0.25">
      <c r="A48" s="155">
        <v>39</v>
      </c>
      <c r="B48" s="1169" t="s">
        <v>173</v>
      </c>
      <c r="C48" s="1166"/>
      <c r="D48" s="151">
        <v>0</v>
      </c>
      <c r="E48" s="146" t="s">
        <v>172</v>
      </c>
    </row>
    <row r="49" spans="1:5" x14ac:dyDescent="0.25">
      <c r="A49" s="155">
        <v>40</v>
      </c>
      <c r="B49" s="1169" t="s">
        <v>174</v>
      </c>
      <c r="C49" s="1166"/>
      <c r="D49" s="152">
        <f>Характеристика!L85</f>
        <v>1.4</v>
      </c>
      <c r="E49" s="146" t="s">
        <v>172</v>
      </c>
    </row>
    <row r="50" spans="1:5" x14ac:dyDescent="0.25">
      <c r="A50" s="155">
        <v>41</v>
      </c>
      <c r="B50" s="1166" t="s">
        <v>175</v>
      </c>
      <c r="C50" s="1166"/>
      <c r="D50" s="153">
        <v>434.69</v>
      </c>
      <c r="E50" s="154" t="s">
        <v>172</v>
      </c>
    </row>
    <row r="51" spans="1:5" x14ac:dyDescent="0.25">
      <c r="A51" s="155">
        <v>42</v>
      </c>
      <c r="B51" s="234" t="s">
        <v>730</v>
      </c>
      <c r="C51" s="234"/>
      <c r="D51" s="236">
        <v>519.64</v>
      </c>
      <c r="E51" s="146" t="s">
        <v>171</v>
      </c>
    </row>
    <row r="52" spans="1:5" x14ac:dyDescent="0.25">
      <c r="A52" s="155">
        <v>43</v>
      </c>
      <c r="B52" s="234" t="s">
        <v>879</v>
      </c>
      <c r="C52" s="234"/>
      <c r="D52" s="668">
        <v>0.99929784799999999</v>
      </c>
      <c r="E52" s="146" t="s">
        <v>171</v>
      </c>
    </row>
    <row r="53" spans="1:5" s="233" customFormat="1" x14ac:dyDescent="0.25">
      <c r="A53" s="155">
        <v>44</v>
      </c>
      <c r="B53" s="1165" t="s">
        <v>908</v>
      </c>
      <c r="C53" s="1165"/>
      <c r="D53" s="234">
        <v>1528.78</v>
      </c>
      <c r="E53" s="146" t="s">
        <v>171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  <pageSetup paperSize="9" scale="9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"/>
  <sheetViews>
    <sheetView tabSelected="1" view="pageBreakPreview" zoomScale="60" zoomScaleNormal="100" workbookViewId="0">
      <selection sqref="A1:D28"/>
    </sheetView>
  </sheetViews>
  <sheetFormatPr defaultRowHeight="15.75" x14ac:dyDescent="0.25"/>
  <cols>
    <col min="1" max="1" width="8.28515625" style="3" customWidth="1"/>
    <col min="2" max="2" width="60.7109375" style="1" customWidth="1"/>
    <col min="3" max="3" width="21.28515625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x14ac:dyDescent="0.25">
      <c r="D1" s="403" t="s">
        <v>1006</v>
      </c>
      <c r="E1" s="403"/>
      <c r="F1" s="401"/>
    </row>
    <row r="2" spans="1:25" x14ac:dyDescent="0.25">
      <c r="D2" s="403" t="s">
        <v>1007</v>
      </c>
      <c r="E2" s="401"/>
      <c r="F2" s="401"/>
    </row>
    <row r="3" spans="1:25" ht="54" customHeight="1" x14ac:dyDescent="0.25">
      <c r="A3" s="1180" t="s">
        <v>1002</v>
      </c>
      <c r="B3" s="1180"/>
      <c r="C3" s="1180"/>
      <c r="D3" s="1180"/>
    </row>
    <row r="4" spans="1:25" x14ac:dyDescent="0.25">
      <c r="A4" s="240" t="str">
        <f>Характеристика!A6</f>
        <v>Адреса</v>
      </c>
      <c r="B4" s="402" t="str">
        <f>CONCATENATE(Характеристика!B6,  Характеристика!E6,Характеристика!L6)</f>
        <v xml:space="preserve">   м. Канів     Шевченка      47</v>
      </c>
      <c r="C4" s="402"/>
    </row>
    <row r="5" spans="1:25" ht="138" customHeight="1" x14ac:dyDescent="0.25">
      <c r="A5" s="669" t="s">
        <v>8</v>
      </c>
      <c r="B5" s="670" t="s">
        <v>998</v>
      </c>
      <c r="C5" s="669" t="s">
        <v>883</v>
      </c>
      <c r="D5" s="669" t="s">
        <v>884</v>
      </c>
    </row>
    <row r="6" spans="1:25" s="405" customFormat="1" ht="96.75" customHeight="1" x14ac:dyDescent="0.25">
      <c r="A6" s="671">
        <v>1</v>
      </c>
      <c r="B6" s="670" t="s">
        <v>947</v>
      </c>
      <c r="C6" s="672">
        <f>'ТО внутріньобудин'!H16</f>
        <v>437754.23453728657</v>
      </c>
      <c r="D6" s="673">
        <f>'ТО внутріньобудин'!K18</f>
        <v>2.291448697366739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04"/>
      <c r="W6" s="404"/>
      <c r="X6" s="404"/>
      <c r="Y6" s="404"/>
    </row>
    <row r="7" spans="1:25" s="405" customFormat="1" ht="18.75" x14ac:dyDescent="0.3">
      <c r="A7" s="671">
        <v>2</v>
      </c>
      <c r="B7" s="674" t="s">
        <v>0</v>
      </c>
      <c r="C7" s="675">
        <f>ліфти!I13</f>
        <v>146762.88</v>
      </c>
      <c r="D7" s="676">
        <f>ліфти!I15</f>
        <v>0.76823839420597551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04"/>
      <c r="W7" s="404"/>
      <c r="X7" s="404"/>
      <c r="Y7" s="404"/>
    </row>
    <row r="8" spans="1:25" s="405" customFormat="1" ht="18.75" x14ac:dyDescent="0.3">
      <c r="A8" s="671">
        <v>3</v>
      </c>
      <c r="B8" s="677" t="s">
        <v>1</v>
      </c>
      <c r="C8" s="678">
        <f>диспетчериз!G15</f>
        <v>39319.056115199994</v>
      </c>
      <c r="D8" s="676">
        <f>диспетчериз!G17</f>
        <v>0.2058177689865168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04"/>
      <c r="W8" s="404"/>
      <c r="X8" s="404"/>
      <c r="Y8" s="404"/>
    </row>
    <row r="9" spans="1:25" s="405" customFormat="1" ht="17.45" customHeight="1" x14ac:dyDescent="0.3">
      <c r="A9" s="671">
        <v>4</v>
      </c>
      <c r="B9" s="677" t="s">
        <v>904</v>
      </c>
      <c r="C9" s="678">
        <f>вентканали!F23</f>
        <v>17641.169361453416</v>
      </c>
      <c r="D9" s="676">
        <f>вентканали!F25</f>
        <v>9.2343674518779062E-2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04"/>
      <c r="W9" s="404"/>
      <c r="X9" s="404"/>
      <c r="Y9" s="404"/>
    </row>
    <row r="10" spans="1:25" s="405" customFormat="1" ht="65.45" hidden="1" customHeight="1" x14ac:dyDescent="0.3">
      <c r="A10" s="671">
        <v>5</v>
      </c>
      <c r="B10" s="677" t="s">
        <v>750</v>
      </c>
      <c r="C10" s="678">
        <f>'обслуг. пожежн'!H15</f>
        <v>0</v>
      </c>
      <c r="D10" s="676">
        <f>'обслуг. пожежн'!H17</f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04"/>
      <c r="W10" s="404"/>
      <c r="X10" s="404"/>
      <c r="Y10" s="404"/>
    </row>
    <row r="11" spans="1:25" s="405" customFormat="1" ht="157.5" customHeight="1" x14ac:dyDescent="0.3">
      <c r="A11" s="671">
        <v>5</v>
      </c>
      <c r="B11" s="677" t="s">
        <v>999</v>
      </c>
      <c r="C11" s="678">
        <f>'поточ рем. констр.ел '!H15</f>
        <v>318865.35793558019</v>
      </c>
      <c r="D11" s="676">
        <f>'поточ рем. констр.ел '!H17</f>
        <v>1.6691181027437452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04"/>
      <c r="W11" s="404"/>
      <c r="X11" s="404"/>
      <c r="Y11" s="404"/>
    </row>
    <row r="12" spans="1:25" s="405" customFormat="1" ht="63" customHeight="1" x14ac:dyDescent="0.3">
      <c r="A12" s="671">
        <v>6</v>
      </c>
      <c r="B12" s="679" t="s">
        <v>1000</v>
      </c>
      <c r="C12" s="678">
        <f>'поточ рем. внутр.б.мереж'!H15</f>
        <v>140201.81777191375</v>
      </c>
      <c r="D12" s="676">
        <f>'поточ рем. внутр.б.мереж'!H17</f>
        <v>0.73389391897491574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04"/>
      <c r="W12" s="404"/>
      <c r="X12" s="404"/>
      <c r="Y12" s="404"/>
    </row>
    <row r="13" spans="1:25" s="405" customFormat="1" ht="61.5" hidden="1" customHeight="1" x14ac:dyDescent="0.3">
      <c r="A13" s="671">
        <v>7</v>
      </c>
      <c r="B13" s="670" t="s">
        <v>2</v>
      </c>
      <c r="C13" s="678">
        <v>0</v>
      </c>
      <c r="D13" s="676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04"/>
      <c r="W13" s="404"/>
      <c r="X13" s="404"/>
      <c r="Y13" s="404"/>
    </row>
    <row r="14" spans="1:25" s="407" customFormat="1" ht="83.25" customHeight="1" x14ac:dyDescent="0.25">
      <c r="A14" s="671">
        <v>7</v>
      </c>
      <c r="B14" s="670" t="s">
        <v>973</v>
      </c>
      <c r="C14" s="672">
        <f>прибирання!G16+Сніг!G23</f>
        <v>165599.76268469717</v>
      </c>
      <c r="D14" s="680">
        <f>прибирання!G18+Сніг!G25</f>
        <v>0.86654013574128519</v>
      </c>
      <c r="E14" s="395"/>
      <c r="F14" s="395"/>
      <c r="G14" s="395"/>
      <c r="H14" s="395"/>
      <c r="I14" s="395"/>
      <c r="J14" s="395"/>
      <c r="K14" s="395"/>
      <c r="L14" s="395"/>
      <c r="M14" s="395"/>
      <c r="N14" s="395"/>
      <c r="O14" s="395"/>
      <c r="P14" s="395"/>
      <c r="Q14" s="395"/>
      <c r="R14" s="395"/>
      <c r="S14" s="395"/>
      <c r="T14" s="395"/>
      <c r="U14" s="395"/>
      <c r="V14" s="406"/>
      <c r="W14" s="406"/>
      <c r="X14" s="406"/>
      <c r="Y14" s="406"/>
    </row>
    <row r="15" spans="1:25" s="405" customFormat="1" ht="30.6" hidden="1" customHeight="1" x14ac:dyDescent="0.3">
      <c r="A15" s="671">
        <v>9</v>
      </c>
      <c r="B15" s="677" t="s">
        <v>4</v>
      </c>
      <c r="C15" s="678">
        <f>сход.клітки!G16</f>
        <v>0</v>
      </c>
      <c r="D15" s="676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04"/>
      <c r="W15" s="404"/>
      <c r="X15" s="404"/>
      <c r="Y15" s="404"/>
    </row>
    <row r="16" spans="1:25" s="405" customFormat="1" ht="49.9" hidden="1" customHeight="1" x14ac:dyDescent="0.3">
      <c r="A16" s="671"/>
      <c r="B16" s="677"/>
      <c r="C16" s="678"/>
      <c r="D16" s="676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04"/>
      <c r="W16" s="404"/>
      <c r="X16" s="404"/>
      <c r="Y16" s="404"/>
    </row>
    <row r="17" spans="1:25" s="405" customFormat="1" ht="18.75" x14ac:dyDescent="0.3">
      <c r="A17" s="671">
        <v>8</v>
      </c>
      <c r="B17" s="674" t="s">
        <v>5</v>
      </c>
      <c r="C17" s="675">
        <f>дератизація!F13</f>
        <v>1253.1189421227796</v>
      </c>
      <c r="D17" s="676">
        <f>дератизація!F15</f>
        <v>6.5595202536601546E-3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04"/>
      <c r="W17" s="404"/>
      <c r="X17" s="404"/>
      <c r="Y17" s="404"/>
    </row>
    <row r="18" spans="1:25" s="405" customFormat="1" ht="18.75" hidden="1" x14ac:dyDescent="0.3">
      <c r="A18" s="671">
        <v>9</v>
      </c>
      <c r="B18" s="674" t="s">
        <v>6</v>
      </c>
      <c r="C18" s="675">
        <v>0</v>
      </c>
      <c r="D18" s="676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04"/>
      <c r="W18" s="404"/>
      <c r="X18" s="404"/>
      <c r="Y18" s="404"/>
    </row>
    <row r="19" spans="1:25" s="405" customFormat="1" ht="83.25" customHeight="1" x14ac:dyDescent="0.3">
      <c r="A19" s="671">
        <v>9</v>
      </c>
      <c r="B19" s="677" t="s">
        <v>935</v>
      </c>
      <c r="C19" s="678">
        <f>освітлення!K13</f>
        <v>48721.264469733665</v>
      </c>
      <c r="D19" s="676">
        <f>освітлення!K15</f>
        <v>0.25503414746230679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04"/>
      <c r="W19" s="404"/>
      <c r="X19" s="404"/>
      <c r="Y19" s="404"/>
    </row>
    <row r="20" spans="1:25" s="405" customFormat="1" ht="78.75" customHeight="1" x14ac:dyDescent="0.3">
      <c r="A20" s="681">
        <v>10</v>
      </c>
      <c r="B20" s="682" t="s">
        <v>1001</v>
      </c>
      <c r="C20" s="683">
        <f>ROUND((C6+C7+C8+C9+C11+C12+C13+C14+C17+C18+C19),2)</f>
        <v>1316118.6599999999</v>
      </c>
      <c r="D20" s="684">
        <f>ROUND((D6+D7+D8+D9+D11+D12+D13+D14+D17+D18+D19),3)</f>
        <v>6.8890000000000002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04"/>
      <c r="W20" s="404"/>
      <c r="X20" s="404"/>
      <c r="Y20" s="404"/>
    </row>
    <row r="21" spans="1:25" s="6" customFormat="1" ht="18.75" x14ac:dyDescent="0.3">
      <c r="A21" s="681">
        <v>11</v>
      </c>
      <c r="B21" s="685" t="s">
        <v>988</v>
      </c>
      <c r="C21" s="686">
        <f>ROUND(C20*розрахунок!D42/100,2)</f>
        <v>131611.87</v>
      </c>
      <c r="D21" s="687">
        <f>ROUND(D20*розрахунок!D42/100,3)</f>
        <v>0.68899999999999995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5"/>
      <c r="W21" s="5"/>
      <c r="X21" s="5"/>
      <c r="Y21" s="5"/>
    </row>
    <row r="22" spans="1:25" s="6" customFormat="1" ht="18.75" x14ac:dyDescent="0.3">
      <c r="A22" s="681">
        <v>12</v>
      </c>
      <c r="B22" s="685" t="s">
        <v>7</v>
      </c>
      <c r="C22" s="685">
        <f>ROUND(SUM((C20+C21))*0.2,2)</f>
        <v>289546.11</v>
      </c>
      <c r="D22" s="685">
        <f>ROUND(SUM((D20+D21))*0.2,3)</f>
        <v>1.516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5"/>
      <c r="W22" s="5"/>
      <c r="X22" s="5"/>
      <c r="Y22" s="5"/>
    </row>
    <row r="23" spans="1:25" s="6" customFormat="1" ht="37.5" x14ac:dyDescent="0.3">
      <c r="A23" s="681">
        <v>13</v>
      </c>
      <c r="B23" s="682" t="s">
        <v>987</v>
      </c>
      <c r="C23" s="683">
        <f>C20+C21+C22</f>
        <v>1737276.6399999997</v>
      </c>
      <c r="D23" s="683">
        <f>D20+D21+D22</f>
        <v>9.0940000000000012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5"/>
      <c r="W23" s="5"/>
      <c r="X23" s="5"/>
      <c r="Y23" s="5"/>
    </row>
    <row r="24" spans="1:25" ht="18.75" x14ac:dyDescent="0.25">
      <c r="A24" s="1182" t="s">
        <v>885</v>
      </c>
      <c r="B24" s="1182"/>
      <c r="C24" s="1182"/>
      <c r="D24" s="1182"/>
    </row>
    <row r="25" spans="1:25" ht="18.75" x14ac:dyDescent="0.25">
      <c r="A25" s="1183" t="s">
        <v>886</v>
      </c>
      <c r="B25" s="1183"/>
      <c r="C25" s="1183"/>
      <c r="D25" s="1183"/>
    </row>
    <row r="26" spans="1:25" ht="18.75" x14ac:dyDescent="0.25">
      <c r="A26" s="1183" t="s">
        <v>889</v>
      </c>
      <c r="B26" s="1183"/>
      <c r="C26" s="1183"/>
      <c r="D26" s="1183"/>
    </row>
    <row r="27" spans="1:25" ht="18.75" x14ac:dyDescent="0.25">
      <c r="A27" s="688" t="s">
        <v>887</v>
      </c>
      <c r="B27" s="688"/>
      <c r="C27" s="688"/>
      <c r="D27" s="688" t="s">
        <v>888</v>
      </c>
    </row>
    <row r="30" spans="1:25" ht="125.45" customHeight="1" x14ac:dyDescent="0.25">
      <c r="A30" s="1179" t="s">
        <v>472</v>
      </c>
      <c r="B30" s="1181"/>
      <c r="C30" s="1181"/>
      <c r="D30" s="1181"/>
    </row>
    <row r="31" spans="1:25" ht="195" customHeight="1" x14ac:dyDescent="0.25">
      <c r="A31" s="1177" t="s">
        <v>284</v>
      </c>
      <c r="B31" s="1178"/>
      <c r="C31" s="1178"/>
      <c r="D31" s="1178"/>
    </row>
    <row r="32" spans="1:25" ht="109.15" customHeight="1" x14ac:dyDescent="0.25">
      <c r="A32" s="1179" t="s">
        <v>285</v>
      </c>
      <c r="B32" s="1179"/>
      <c r="C32" s="1179"/>
      <c r="D32" s="1179"/>
    </row>
  </sheetData>
  <mergeCells count="7">
    <mergeCell ref="A31:D31"/>
    <mergeCell ref="A32:D32"/>
    <mergeCell ref="A3:D3"/>
    <mergeCell ref="A30:D30"/>
    <mergeCell ref="A24:D24"/>
    <mergeCell ref="A25:D25"/>
    <mergeCell ref="A26:D26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rowBreaks count="1" manualBreakCount="1">
    <brk id="2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4"/>
  <sheetViews>
    <sheetView view="pageBreakPreview" topLeftCell="A33" zoomScale="80" zoomScaleNormal="100" zoomScaleSheetLayoutView="80" workbookViewId="0">
      <selection activeCell="H44" sqref="H44"/>
    </sheetView>
  </sheetViews>
  <sheetFormatPr defaultRowHeight="15" x14ac:dyDescent="0.25"/>
  <cols>
    <col min="3" max="3" width="16" customWidth="1"/>
    <col min="4" max="4" width="10.5703125" customWidth="1"/>
  </cols>
  <sheetData>
    <row r="1" spans="1:10" x14ac:dyDescent="0.25">
      <c r="A1" s="1187" t="str">
        <f>CONCATENATE(кошторис!B4)</f>
        <v xml:space="preserve">   м. Канів     Шевченка      47</v>
      </c>
      <c r="B1" s="1188"/>
      <c r="C1" s="1188"/>
      <c r="D1" s="939"/>
      <c r="E1" s="939"/>
      <c r="F1" s="170"/>
      <c r="G1" s="1189" t="s">
        <v>204</v>
      </c>
      <c r="H1" s="1189"/>
      <c r="I1" s="1189"/>
      <c r="J1" s="1189"/>
    </row>
    <row r="2" spans="1:10" x14ac:dyDescent="0.25">
      <c r="A2" s="170"/>
      <c r="B2" s="170"/>
      <c r="C2" s="170"/>
      <c r="D2" s="170"/>
      <c r="E2" s="170"/>
      <c r="F2" s="170"/>
      <c r="G2" s="1189" t="s">
        <v>895</v>
      </c>
      <c r="H2" s="1189"/>
      <c r="I2" s="1189"/>
      <c r="J2" s="1189"/>
    </row>
    <row r="3" spans="1:10" x14ac:dyDescent="0.25">
      <c r="A3" s="170"/>
      <c r="B3" s="170"/>
      <c r="C3" s="170"/>
      <c r="D3" s="170"/>
      <c r="E3" s="170"/>
      <c r="F3" s="1193" t="s">
        <v>896</v>
      </c>
      <c r="G3" s="1193"/>
      <c r="H3" s="1193"/>
      <c r="I3" s="1193"/>
      <c r="J3" s="1193"/>
    </row>
    <row r="4" spans="1:10" x14ac:dyDescent="0.25">
      <c r="A4" s="170"/>
      <c r="B4" s="170"/>
      <c r="C4" s="170"/>
      <c r="D4" s="170"/>
      <c r="E4" s="170"/>
      <c r="F4" s="170"/>
      <c r="G4" s="241"/>
      <c r="H4" s="242"/>
      <c r="I4" s="1190" t="s">
        <v>283</v>
      </c>
      <c r="J4" s="1190"/>
    </row>
    <row r="5" spans="1:10" x14ac:dyDescent="0.25">
      <c r="A5" s="170"/>
      <c r="B5" s="170"/>
      <c r="C5" s="170"/>
      <c r="D5" s="170"/>
      <c r="E5" s="170"/>
      <c r="F5" s="170"/>
      <c r="G5" s="1189"/>
      <c r="H5" s="1189"/>
      <c r="I5" s="1189"/>
      <c r="J5" s="1189"/>
    </row>
    <row r="6" spans="1:10" x14ac:dyDescent="0.25">
      <c r="A6" s="1191" t="s">
        <v>287</v>
      </c>
      <c r="B6" s="1191"/>
      <c r="C6" s="1191"/>
      <c r="D6" s="1191"/>
      <c r="E6" s="1191"/>
      <c r="F6" s="1191"/>
      <c r="G6" s="1191"/>
      <c r="H6" s="1191"/>
      <c r="I6" s="1191"/>
      <c r="J6" s="1191"/>
    </row>
    <row r="7" spans="1:10" x14ac:dyDescent="0.25">
      <c r="A7" s="1191" t="s">
        <v>205</v>
      </c>
      <c r="B7" s="1191"/>
      <c r="C7" s="1191"/>
      <c r="D7" s="1191"/>
      <c r="E7" s="1191"/>
      <c r="F7" s="1191"/>
      <c r="G7" s="1191"/>
      <c r="H7" s="1191"/>
      <c r="I7" s="1191"/>
      <c r="J7" s="1191"/>
    </row>
    <row r="8" spans="1:10" x14ac:dyDescent="0.25">
      <c r="A8" s="171"/>
      <c r="B8" s="172"/>
      <c r="C8" s="172"/>
      <c r="D8" s="172"/>
      <c r="E8" s="171"/>
      <c r="F8" s="171"/>
      <c r="G8" s="171"/>
      <c r="H8" s="171"/>
      <c r="I8" s="171"/>
      <c r="J8" s="171"/>
    </row>
    <row r="9" spans="1:10" ht="17.45" customHeight="1" x14ac:dyDescent="0.25">
      <c r="A9" s="1192" t="s">
        <v>286</v>
      </c>
      <c r="B9" s="1192"/>
      <c r="C9" s="1192"/>
      <c r="D9" s="1192"/>
      <c r="E9" s="1192"/>
      <c r="F9" s="1192"/>
      <c r="G9" s="1192"/>
      <c r="H9" s="1192"/>
      <c r="I9" s="1192"/>
      <c r="J9" s="1192"/>
    </row>
    <row r="10" spans="1:10" ht="25.5" x14ac:dyDescent="0.25">
      <c r="A10" s="173" t="s">
        <v>206</v>
      </c>
      <c r="B10" s="1184" t="s">
        <v>207</v>
      </c>
      <c r="C10" s="1185"/>
      <c r="D10" s="1185"/>
      <c r="E10" s="1185"/>
      <c r="F10" s="173" t="s">
        <v>208</v>
      </c>
      <c r="G10" s="1184" t="s">
        <v>209</v>
      </c>
      <c r="H10" s="1185"/>
      <c r="I10" s="1184" t="s">
        <v>210</v>
      </c>
      <c r="J10" s="1186"/>
    </row>
    <row r="11" spans="1:10" x14ac:dyDescent="0.25">
      <c r="A11" s="173">
        <v>1</v>
      </c>
      <c r="B11" s="1194" t="s">
        <v>943</v>
      </c>
      <c r="C11" s="1171"/>
      <c r="D11" s="1171"/>
      <c r="E11" s="1171"/>
      <c r="F11" s="250" t="s">
        <v>172</v>
      </c>
      <c r="G11" s="1196">
        <f>I11*12</f>
        <v>67794.256030880555</v>
      </c>
      <c r="H11" s="1197"/>
      <c r="I11" s="1196">
        <f>I43+I44</f>
        <v>5649.5213359067129</v>
      </c>
      <c r="J11" s="1198"/>
    </row>
    <row r="12" spans="1:10" ht="28.15" customHeight="1" x14ac:dyDescent="0.25">
      <c r="A12" s="173">
        <v>2</v>
      </c>
      <c r="B12" s="1199" t="s">
        <v>290</v>
      </c>
      <c r="C12" s="1200"/>
      <c r="D12" s="1200"/>
      <c r="E12" s="1200"/>
      <c r="F12" s="250" t="s">
        <v>172</v>
      </c>
      <c r="G12" s="1196">
        <f>I12*12</f>
        <v>14914.68</v>
      </c>
      <c r="H12" s="1197"/>
      <c r="I12" s="1196">
        <f>ROUND(I11*розрахунок!D40/100,2)</f>
        <v>1242.8900000000001</v>
      </c>
      <c r="J12" s="1198"/>
    </row>
    <row r="13" spans="1:10" x14ac:dyDescent="0.25">
      <c r="A13" s="173">
        <v>3</v>
      </c>
      <c r="B13" s="1194" t="s">
        <v>291</v>
      </c>
      <c r="C13" s="1195"/>
      <c r="D13" s="1195"/>
      <c r="E13" s="1195"/>
      <c r="F13" s="250" t="s">
        <v>172</v>
      </c>
      <c r="G13" s="1196">
        <f>I13*12</f>
        <v>50444.104089338842</v>
      </c>
      <c r="H13" s="1197"/>
      <c r="I13" s="1196">
        <f>I52</f>
        <v>4203.6753407782371</v>
      </c>
      <c r="J13" s="1198"/>
    </row>
    <row r="14" spans="1:10" x14ac:dyDescent="0.25">
      <c r="A14" s="173">
        <v>4</v>
      </c>
      <c r="B14" s="1194" t="s">
        <v>473</v>
      </c>
      <c r="C14" s="1195"/>
      <c r="D14" s="1195"/>
      <c r="E14" s="1195"/>
      <c r="F14" s="250" t="s">
        <v>172</v>
      </c>
      <c r="G14" s="1196">
        <f>I14*12</f>
        <v>2923.65320470697</v>
      </c>
      <c r="H14" s="1197"/>
      <c r="I14" s="1196">
        <f>інвентар!I7+інвентар!I12</f>
        <v>243.63776705891416</v>
      </c>
      <c r="J14" s="1198"/>
    </row>
    <row r="15" spans="1:10" x14ac:dyDescent="0.25">
      <c r="A15" s="173">
        <v>5</v>
      </c>
      <c r="B15" s="1194" t="s">
        <v>474</v>
      </c>
      <c r="C15" s="1195"/>
      <c r="D15" s="1195"/>
      <c r="E15" s="1195"/>
      <c r="F15" s="250" t="s">
        <v>172</v>
      </c>
      <c r="G15" s="1196">
        <f>I15*12</f>
        <v>0</v>
      </c>
      <c r="H15" s="1197"/>
      <c r="I15" s="1201">
        <v>0</v>
      </c>
      <c r="J15" s="1202"/>
    </row>
    <row r="16" spans="1:10" x14ac:dyDescent="0.25">
      <c r="A16" s="173">
        <v>6</v>
      </c>
      <c r="B16" s="1203" t="s">
        <v>211</v>
      </c>
      <c r="C16" s="1204"/>
      <c r="D16" s="1204"/>
      <c r="E16" s="1204"/>
      <c r="F16" s="173" t="s">
        <v>172</v>
      </c>
      <c r="G16" s="1205">
        <f>SUM(G11:G15)</f>
        <v>136076.69332492637</v>
      </c>
      <c r="H16" s="1206"/>
      <c r="I16" s="1205">
        <f>SUM(I11:I15)</f>
        <v>11339.724443743864</v>
      </c>
      <c r="J16" s="1207"/>
    </row>
    <row r="17" spans="1:10" ht="22.9" customHeight="1" x14ac:dyDescent="0.25">
      <c r="A17" s="173">
        <v>7</v>
      </c>
      <c r="B17" s="1208" t="str">
        <f>Характеристика!A18</f>
        <v>Загальна площа будинку</v>
      </c>
      <c r="C17" s="1209"/>
      <c r="D17" s="1209"/>
      <c r="E17" s="1209"/>
      <c r="F17" s="173" t="s">
        <v>213</v>
      </c>
      <c r="G17" s="1210">
        <f>Характеристика!N18</f>
        <v>15919.85</v>
      </c>
      <c r="H17" s="1211"/>
      <c r="I17" s="1211"/>
      <c r="J17" s="1212"/>
    </row>
    <row r="18" spans="1:10" x14ac:dyDescent="0.25">
      <c r="A18" s="173">
        <v>8</v>
      </c>
      <c r="B18" s="1203" t="s">
        <v>475</v>
      </c>
      <c r="C18" s="1185"/>
      <c r="D18" s="1185"/>
      <c r="E18" s="1185"/>
      <c r="F18" s="173" t="s">
        <v>172</v>
      </c>
      <c r="G18" s="1213">
        <f>ROUND(I16/G17,3)</f>
        <v>0.71199999999999997</v>
      </c>
      <c r="H18" s="1214"/>
      <c r="I18" s="1215"/>
      <c r="J18" s="1216"/>
    </row>
    <row r="19" spans="1:10" x14ac:dyDescent="0.25">
      <c r="A19" s="174"/>
      <c r="B19" s="175"/>
      <c r="C19" s="140"/>
      <c r="D19" s="140"/>
      <c r="E19" s="140"/>
      <c r="F19" s="174"/>
      <c r="G19" s="176"/>
      <c r="H19" s="176"/>
      <c r="I19" s="177"/>
      <c r="J19" s="177"/>
    </row>
    <row r="20" spans="1:10" x14ac:dyDescent="0.25">
      <c r="A20" s="172" t="s">
        <v>214</v>
      </c>
      <c r="B20" s="170"/>
      <c r="C20" s="170"/>
      <c r="D20" s="170"/>
      <c r="E20" s="170"/>
      <c r="F20" s="170"/>
      <c r="G20" s="176"/>
      <c r="H20" s="176"/>
      <c r="I20" s="177"/>
      <c r="J20" s="177"/>
    </row>
    <row r="21" spans="1:10" ht="42" customHeight="1" x14ac:dyDescent="0.25">
      <c r="A21" s="1217" t="s">
        <v>215</v>
      </c>
      <c r="B21" s="1217"/>
      <c r="C21" s="1217"/>
      <c r="D21" s="1217"/>
      <c r="E21" s="1217"/>
      <c r="F21" s="1217"/>
      <c r="G21" s="1217"/>
      <c r="H21" s="1217"/>
      <c r="I21" s="1217"/>
      <c r="J21" s="1217"/>
    </row>
    <row r="22" spans="1:10" ht="23.45" customHeight="1" x14ac:dyDescent="0.25">
      <c r="A22" s="1218" t="s">
        <v>276</v>
      </c>
      <c r="B22" s="1219"/>
      <c r="C22" s="1219"/>
      <c r="D22" s="1219"/>
      <c r="E22" s="1219"/>
      <c r="F22" s="1219"/>
      <c r="G22" s="1219"/>
      <c r="H22" s="1219"/>
      <c r="I22" s="1219"/>
      <c r="J22" s="1219"/>
    </row>
    <row r="23" spans="1:10" x14ac:dyDescent="0.25">
      <c r="A23" s="1234" t="s">
        <v>260</v>
      </c>
      <c r="B23" s="1235"/>
      <c r="C23" s="1235"/>
      <c r="D23" s="1235"/>
      <c r="E23" s="1236" t="s">
        <v>216</v>
      </c>
      <c r="F23" s="1236"/>
      <c r="G23" s="178">
        <f>розрахунок!D45</f>
        <v>301</v>
      </c>
      <c r="H23" s="1236" t="s">
        <v>217</v>
      </c>
      <c r="I23" s="1236"/>
      <c r="J23" s="178">
        <f>розрахунок!D46</f>
        <v>1987</v>
      </c>
    </row>
    <row r="24" spans="1:10" x14ac:dyDescent="0.25">
      <c r="A24" s="179" t="s">
        <v>218</v>
      </c>
      <c r="B24" s="1237" t="s">
        <v>219</v>
      </c>
      <c r="C24" s="1237"/>
      <c r="D24" s="1237"/>
      <c r="E24" s="1237"/>
      <c r="F24" s="1237"/>
      <c r="G24" s="180"/>
      <c r="H24" s="180"/>
      <c r="I24" s="180"/>
      <c r="J24" s="181"/>
    </row>
    <row r="25" spans="1:10" ht="123.75" x14ac:dyDescent="0.25">
      <c r="A25" s="182" t="s">
        <v>220</v>
      </c>
      <c r="B25" s="1238" t="s">
        <v>221</v>
      </c>
      <c r="C25" s="1239"/>
      <c r="D25" s="183" t="s">
        <v>222</v>
      </c>
      <c r="E25" s="184" t="s">
        <v>223</v>
      </c>
      <c r="F25" s="1240" t="s">
        <v>224</v>
      </c>
      <c r="G25" s="1239"/>
      <c r="H25" s="185" t="s">
        <v>225</v>
      </c>
      <c r="I25" s="186" t="s">
        <v>226</v>
      </c>
      <c r="J25" s="186" t="s">
        <v>227</v>
      </c>
    </row>
    <row r="26" spans="1:10" x14ac:dyDescent="0.25">
      <c r="A26" s="187">
        <v>1</v>
      </c>
      <c r="B26" s="1227">
        <v>2</v>
      </c>
      <c r="C26" s="1228"/>
      <c r="D26" s="188">
        <v>3</v>
      </c>
      <c r="E26" s="188">
        <v>4</v>
      </c>
      <c r="F26" s="1229">
        <v>5</v>
      </c>
      <c r="G26" s="1230"/>
      <c r="H26" s="188">
        <v>6</v>
      </c>
      <c r="I26" s="188">
        <v>7</v>
      </c>
      <c r="J26" s="188">
        <v>8</v>
      </c>
    </row>
    <row r="27" spans="1:10" x14ac:dyDescent="0.25">
      <c r="A27" s="189" t="s">
        <v>93</v>
      </c>
      <c r="B27" s="1220" t="s">
        <v>228</v>
      </c>
      <c r="C27" s="1231"/>
      <c r="D27" s="1221"/>
      <c r="E27" s="1221"/>
      <c r="F27" s="1221"/>
      <c r="G27" s="1221"/>
      <c r="H27" s="1221"/>
      <c r="I27" s="1221"/>
      <c r="J27" s="1222"/>
    </row>
    <row r="28" spans="1:10" s="247" customFormat="1" ht="25.9" customHeight="1" x14ac:dyDescent="0.25">
      <c r="A28" s="189"/>
      <c r="B28" s="1223" t="s">
        <v>289</v>
      </c>
      <c r="C28" s="1232"/>
      <c r="D28" s="243">
        <f>Характеристика!H41</f>
        <v>1854.5</v>
      </c>
      <c r="E28" s="244">
        <v>282</v>
      </c>
      <c r="F28" s="1233">
        <v>0.2</v>
      </c>
      <c r="G28" s="1202"/>
      <c r="H28" s="243">
        <f t="shared" ref="H28" si="0">(D28/100)*F28*E28</f>
        <v>1045.9380000000001</v>
      </c>
      <c r="I28" s="245">
        <v>21</v>
      </c>
      <c r="J28" s="246" t="s">
        <v>229</v>
      </c>
    </row>
    <row r="29" spans="1:10" x14ac:dyDescent="0.25">
      <c r="A29" s="189" t="s">
        <v>230</v>
      </c>
      <c r="B29" s="1220" t="s">
        <v>240</v>
      </c>
      <c r="C29" s="1221"/>
      <c r="D29" s="1221"/>
      <c r="E29" s="1221"/>
      <c r="F29" s="1221"/>
      <c r="G29" s="1222"/>
      <c r="H29" s="194"/>
      <c r="I29" s="195"/>
      <c r="J29" s="196"/>
    </row>
    <row r="30" spans="1:10" hidden="1" x14ac:dyDescent="0.25">
      <c r="A30" s="189"/>
      <c r="B30" s="1223" t="s">
        <v>241</v>
      </c>
      <c r="C30" s="1224"/>
      <c r="D30" s="197"/>
      <c r="E30" s="198"/>
      <c r="F30" s="1225">
        <v>0.28000000000000003</v>
      </c>
      <c r="G30" s="1226"/>
      <c r="H30" s="190">
        <f>D30/100*F30*E30</f>
        <v>0</v>
      </c>
      <c r="I30" s="199" t="s">
        <v>242</v>
      </c>
      <c r="J30" s="200" t="s">
        <v>243</v>
      </c>
    </row>
    <row r="31" spans="1:10" x14ac:dyDescent="0.25">
      <c r="A31" s="189"/>
      <c r="B31" s="1223" t="s">
        <v>244</v>
      </c>
      <c r="C31" s="1224"/>
      <c r="D31" s="197">
        <f>Характеристика!L55</f>
        <v>3477</v>
      </c>
      <c r="E31" s="198">
        <v>2</v>
      </c>
      <c r="F31" s="1225">
        <v>0.47</v>
      </c>
      <c r="G31" s="1226"/>
      <c r="H31" s="190">
        <f>D31/100*F31*E31</f>
        <v>32.683799999999998</v>
      </c>
      <c r="I31" s="199" t="s">
        <v>242</v>
      </c>
      <c r="J31" s="200"/>
    </row>
    <row r="32" spans="1:10" x14ac:dyDescent="0.25">
      <c r="A32" s="189" t="s">
        <v>234</v>
      </c>
      <c r="B32" s="1241" t="s">
        <v>245</v>
      </c>
      <c r="C32" s="1171"/>
      <c r="D32" s="1171"/>
      <c r="E32" s="1171"/>
      <c r="F32" s="1171"/>
      <c r="G32" s="1171"/>
      <c r="H32" s="201"/>
      <c r="I32" s="201"/>
      <c r="J32" s="201"/>
    </row>
    <row r="33" spans="1:10" ht="23.45" customHeight="1" x14ac:dyDescent="0.25">
      <c r="A33" s="202"/>
      <c r="B33" s="1250" t="s">
        <v>246</v>
      </c>
      <c r="C33" s="1173"/>
      <c r="D33" s="190">
        <f>Характеристика!H53</f>
        <v>4138</v>
      </c>
      <c r="E33" s="191">
        <v>52</v>
      </c>
      <c r="F33" s="1225">
        <v>0.13</v>
      </c>
      <c r="G33" s="1251"/>
      <c r="H33" s="190">
        <f>D33/100*F33*E33</f>
        <v>279.72880000000004</v>
      </c>
      <c r="I33" s="192">
        <v>34</v>
      </c>
      <c r="J33" s="193" t="s">
        <v>247</v>
      </c>
    </row>
    <row r="34" spans="1:10" s="249" customFormat="1" ht="45.6" customHeight="1" x14ac:dyDescent="0.25">
      <c r="A34" s="248" t="s">
        <v>235</v>
      </c>
      <c r="B34" s="1252" t="s">
        <v>248</v>
      </c>
      <c r="C34" s="1253"/>
      <c r="D34" s="243">
        <f>Характеристика!N56</f>
        <v>24</v>
      </c>
      <c r="E34" s="244">
        <v>1</v>
      </c>
      <c r="F34" s="1233">
        <v>3.8</v>
      </c>
      <c r="G34" s="1254"/>
      <c r="H34" s="243">
        <f>D34*E34*F34</f>
        <v>91.199999999999989</v>
      </c>
      <c r="I34" s="245">
        <v>39</v>
      </c>
      <c r="J34" s="232" t="s">
        <v>249</v>
      </c>
    </row>
    <row r="35" spans="1:10" hidden="1" x14ac:dyDescent="0.25">
      <c r="A35" s="203" t="s">
        <v>250</v>
      </c>
      <c r="B35" s="1246" t="s">
        <v>251</v>
      </c>
      <c r="C35" s="1247"/>
      <c r="D35" s="204"/>
      <c r="E35" s="205">
        <v>52</v>
      </c>
      <c r="F35" s="1248">
        <v>0.37</v>
      </c>
      <c r="G35" s="1249"/>
      <c r="H35" s="190">
        <f>F35/10*D35*E35</f>
        <v>0</v>
      </c>
      <c r="I35" s="206">
        <v>36</v>
      </c>
      <c r="J35" s="207" t="s">
        <v>252</v>
      </c>
    </row>
    <row r="36" spans="1:10" ht="28.15" customHeight="1" x14ac:dyDescent="0.25">
      <c r="A36" s="203" t="s">
        <v>253</v>
      </c>
      <c r="B36" s="1246" t="s">
        <v>254</v>
      </c>
      <c r="C36" s="1247"/>
      <c r="D36" s="225">
        <f>Характеристика!G56</f>
        <v>15</v>
      </c>
      <c r="E36" s="205">
        <v>282</v>
      </c>
      <c r="F36" s="1225">
        <v>0.24</v>
      </c>
      <c r="G36" s="1226"/>
      <c r="H36" s="190">
        <f>F36/10*D36*E36</f>
        <v>101.52</v>
      </c>
      <c r="I36" s="206">
        <v>52</v>
      </c>
      <c r="J36" s="207" t="s">
        <v>255</v>
      </c>
    </row>
    <row r="37" spans="1:10" x14ac:dyDescent="0.25">
      <c r="A37" s="208"/>
      <c r="B37" s="1260" t="s">
        <v>256</v>
      </c>
      <c r="C37" s="1261"/>
      <c r="D37" s="209"/>
      <c r="E37" s="210"/>
      <c r="F37" s="1262"/>
      <c r="G37" s="1262"/>
      <c r="H37" s="211">
        <f>SUM(H27:H36)</f>
        <v>1551.0706000000002</v>
      </c>
      <c r="I37" s="212"/>
      <c r="J37" s="213"/>
    </row>
    <row r="38" spans="1:10" ht="26.45" customHeight="1" x14ac:dyDescent="0.25">
      <c r="A38" s="1263" t="s">
        <v>257</v>
      </c>
      <c r="B38" s="1264"/>
      <c r="C38" s="1265"/>
      <c r="D38" s="1266"/>
      <c r="E38" s="1265"/>
      <c r="F38" s="1266"/>
      <c r="G38" s="1264"/>
      <c r="H38" s="1264"/>
      <c r="I38" s="1264"/>
      <c r="J38" s="1265"/>
    </row>
    <row r="39" spans="1:10" x14ac:dyDescent="0.25">
      <c r="A39" s="214"/>
      <c r="B39" s="215"/>
      <c r="C39" s="215"/>
      <c r="D39" s="214"/>
      <c r="E39" s="214"/>
      <c r="F39" s="214"/>
      <c r="G39" s="214"/>
      <c r="H39" s="216"/>
      <c r="I39" s="217"/>
      <c r="J39" s="217"/>
    </row>
    <row r="40" spans="1:10" x14ac:dyDescent="0.25">
      <c r="A40" s="1267" t="s">
        <v>258</v>
      </c>
      <c r="B40" s="1268"/>
      <c r="C40" s="1268"/>
      <c r="D40" s="1268"/>
      <c r="E40" s="1268"/>
      <c r="F40" s="1268"/>
      <c r="G40" s="1268"/>
      <c r="H40" s="1268"/>
      <c r="I40" s="1268"/>
      <c r="J40" s="1268"/>
    </row>
    <row r="41" spans="1:10" ht="84" x14ac:dyDescent="0.25">
      <c r="A41" s="1242" t="s">
        <v>181</v>
      </c>
      <c r="B41" s="1243"/>
      <c r="C41" s="218" t="s">
        <v>259</v>
      </c>
      <c r="D41" s="219" t="s">
        <v>260</v>
      </c>
      <c r="E41" s="220" t="s">
        <v>261</v>
      </c>
      <c r="F41" s="221" t="s">
        <v>262</v>
      </c>
      <c r="G41" s="221" t="s">
        <v>263</v>
      </c>
      <c r="H41" s="220" t="s">
        <v>264</v>
      </c>
      <c r="I41" s="1244" t="s">
        <v>975</v>
      </c>
      <c r="J41" s="1245"/>
    </row>
    <row r="42" spans="1:10" x14ac:dyDescent="0.25">
      <c r="A42" s="1244">
        <v>1</v>
      </c>
      <c r="B42" s="1243"/>
      <c r="C42" s="219">
        <v>2</v>
      </c>
      <c r="D42" s="222">
        <v>3</v>
      </c>
      <c r="E42" s="222">
        <v>4</v>
      </c>
      <c r="F42" s="222">
        <v>5</v>
      </c>
      <c r="G42" s="223"/>
      <c r="H42" s="222">
        <v>6</v>
      </c>
      <c r="I42" s="1255">
        <v>7</v>
      </c>
      <c r="J42" s="1256"/>
    </row>
    <row r="43" spans="1:10" x14ac:dyDescent="0.25">
      <c r="A43" s="1257" t="s">
        <v>188</v>
      </c>
      <c r="B43" s="775"/>
      <c r="C43" s="224">
        <f>H37-H31</f>
        <v>1518.3868000000002</v>
      </c>
      <c r="D43" s="225">
        <f>J23</f>
        <v>1987</v>
      </c>
      <c r="E43" s="190">
        <f>ROUND(C43/D43,2)</f>
        <v>0.76</v>
      </c>
      <c r="F43" s="190">
        <f>оклади!K7</f>
        <v>6700</v>
      </c>
      <c r="G43" s="197">
        <f>E43*F43</f>
        <v>5092</v>
      </c>
      <c r="H43" s="190">
        <f>G43*0</f>
        <v>0</v>
      </c>
      <c r="I43" s="1258">
        <f>G43*1.0734+H43</f>
        <v>5465.7527999999993</v>
      </c>
      <c r="J43" s="1259"/>
    </row>
    <row r="44" spans="1:10" ht="23.45" customHeight="1" x14ac:dyDescent="0.25">
      <c r="A44" s="1257" t="s">
        <v>190</v>
      </c>
      <c r="B44" s="1257"/>
      <c r="C44" s="224">
        <f>H31</f>
        <v>32.683799999999998</v>
      </c>
      <c r="D44" s="225">
        <f>J23</f>
        <v>1987</v>
      </c>
      <c r="E44" s="226">
        <f>C44/D44</f>
        <v>1.6448817312531453E-2</v>
      </c>
      <c r="F44" s="190">
        <f>оклади!K8</f>
        <v>8442</v>
      </c>
      <c r="G44" s="197">
        <f>E44*F44</f>
        <v>138.86091575239053</v>
      </c>
      <c r="H44" s="190">
        <f>G44*0.25</f>
        <v>34.715228938097631</v>
      </c>
      <c r="I44" s="1274">
        <f>G44*1.0734+H44</f>
        <v>183.76853590671359</v>
      </c>
      <c r="J44" s="1275"/>
    </row>
    <row r="45" spans="1:10" x14ac:dyDescent="0.25">
      <c r="A45" s="227"/>
      <c r="B45" s="31"/>
      <c r="C45" s="228"/>
      <c r="D45" s="229"/>
      <c r="E45" s="229"/>
      <c r="F45" s="229"/>
      <c r="G45" s="230"/>
      <c r="H45" s="229"/>
      <c r="I45" s="229"/>
      <c r="J45" s="231"/>
    </row>
    <row r="46" spans="1:10" x14ac:dyDescent="0.25">
      <c r="A46" s="1267" t="s">
        <v>265</v>
      </c>
      <c r="B46" s="1267"/>
      <c r="C46" s="1267"/>
      <c r="D46" s="1267"/>
      <c r="E46" s="1267"/>
      <c r="F46" s="1267"/>
      <c r="G46" s="1267"/>
      <c r="H46" s="1267"/>
      <c r="I46" s="1267"/>
      <c r="J46" s="1267"/>
    </row>
    <row r="47" spans="1:10" ht="72" x14ac:dyDescent="0.25">
      <c r="A47" s="1269" t="s">
        <v>266</v>
      </c>
      <c r="B47" s="1270"/>
      <c r="C47" s="220" t="s">
        <v>267</v>
      </c>
      <c r="D47" s="220" t="s">
        <v>268</v>
      </c>
      <c r="E47" s="1269" t="s">
        <v>269</v>
      </c>
      <c r="F47" s="1271"/>
      <c r="G47" s="1269" t="s">
        <v>270</v>
      </c>
      <c r="H47" s="753"/>
      <c r="I47" s="1269" t="s">
        <v>271</v>
      </c>
      <c r="J47" s="753"/>
    </row>
    <row r="48" spans="1:10" x14ac:dyDescent="0.25">
      <c r="A48" s="1269">
        <v>1</v>
      </c>
      <c r="B48" s="1270"/>
      <c r="C48" s="220">
        <v>2</v>
      </c>
      <c r="D48" s="220">
        <v>3</v>
      </c>
      <c r="E48" s="1269">
        <v>4</v>
      </c>
      <c r="F48" s="1271"/>
      <c r="G48" s="1269">
        <v>5</v>
      </c>
      <c r="H48" s="753"/>
      <c r="I48" s="1269">
        <v>6</v>
      </c>
      <c r="J48" s="753"/>
    </row>
    <row r="49" spans="1:10" ht="45" customHeight="1" x14ac:dyDescent="0.25">
      <c r="A49" s="1269" t="s">
        <v>272</v>
      </c>
      <c r="B49" s="1269"/>
      <c r="C49" s="392">
        <v>2502571.37</v>
      </c>
      <c r="D49" s="232">
        <v>5976607.4800000004</v>
      </c>
      <c r="E49" s="1272">
        <f>C49/D49*100</f>
        <v>41.872774452305173</v>
      </c>
      <c r="F49" s="856"/>
      <c r="G49" s="1273">
        <f>I43+I44</f>
        <v>5649.5213359067129</v>
      </c>
      <c r="H49" s="753"/>
      <c r="I49" s="1273">
        <f>E49*G49/100</f>
        <v>2365.611326619076</v>
      </c>
      <c r="J49" s="753"/>
    </row>
    <row r="50" spans="1:10" ht="33" customHeight="1" x14ac:dyDescent="0.25">
      <c r="A50" s="1269" t="s">
        <v>273</v>
      </c>
      <c r="B50" s="1269"/>
      <c r="C50" s="392">
        <v>4320090.5999999996</v>
      </c>
      <c r="D50" s="232">
        <v>24679377</v>
      </c>
      <c r="E50" s="1272">
        <f>C50/D50*100</f>
        <v>17.504860839882628</v>
      </c>
      <c r="F50" s="856"/>
      <c r="G50" s="1273">
        <f>I11+I12+I14+I15+I49</f>
        <v>9501.6604295847028</v>
      </c>
      <c r="H50" s="753"/>
      <c r="I50" s="1273">
        <f>E50*G50/100</f>
        <v>1663.2524356769964</v>
      </c>
      <c r="J50" s="753"/>
    </row>
    <row r="51" spans="1:10" ht="33" customHeight="1" x14ac:dyDescent="0.25">
      <c r="A51" s="1244" t="s">
        <v>976</v>
      </c>
      <c r="B51" s="1280"/>
      <c r="C51" s="392">
        <v>248044.38</v>
      </c>
      <c r="D51" s="232">
        <v>13482135.970000001</v>
      </c>
      <c r="E51" s="1272">
        <f>C51/D51*100</f>
        <v>1.839800314667795</v>
      </c>
      <c r="F51" s="856"/>
      <c r="G51" s="1281">
        <f>I11+I12+I14+I15+I49</f>
        <v>9501.6604295847028</v>
      </c>
      <c r="H51" s="1282"/>
      <c r="I51" s="1273">
        <f>E51*G51/100</f>
        <v>174.81157848216472</v>
      </c>
      <c r="J51" s="753"/>
    </row>
    <row r="52" spans="1:10" ht="37.15" customHeight="1" x14ac:dyDescent="0.25">
      <c r="A52" s="1277" t="s">
        <v>274</v>
      </c>
      <c r="B52" s="1277"/>
      <c r="C52" s="393"/>
      <c r="D52" s="394"/>
      <c r="E52" s="1278"/>
      <c r="F52" s="856"/>
      <c r="G52" s="1279"/>
      <c r="H52" s="753"/>
      <c r="I52" s="1279">
        <f>SUM(I49:I51)</f>
        <v>4203.6753407782371</v>
      </c>
      <c r="J52" s="753"/>
    </row>
    <row r="53" spans="1:10" x14ac:dyDescent="0.25">
      <c r="A53" s="140"/>
      <c r="B53" s="140"/>
      <c r="C53" s="140"/>
      <c r="D53" s="140"/>
      <c r="E53" s="140"/>
      <c r="F53" s="140"/>
      <c r="G53" s="140"/>
      <c r="H53" s="140"/>
      <c r="I53" s="140"/>
      <c r="J53" s="140"/>
    </row>
    <row r="54" spans="1:10" ht="32.450000000000003" customHeight="1" x14ac:dyDescent="0.25">
      <c r="A54" s="1276" t="s">
        <v>275</v>
      </c>
      <c r="B54" s="1276"/>
      <c r="C54" s="1276"/>
      <c r="D54" s="1276"/>
      <c r="E54" s="1276"/>
      <c r="F54" s="1276"/>
      <c r="G54" s="1276"/>
      <c r="H54" s="1276"/>
      <c r="I54" s="1276"/>
      <c r="J54" s="1276"/>
    </row>
  </sheetData>
  <mergeCells count="101">
    <mergeCell ref="A54:J54"/>
    <mergeCell ref="A50:B50"/>
    <mergeCell ref="E50:F50"/>
    <mergeCell ref="G50:H50"/>
    <mergeCell ref="I50:J50"/>
    <mergeCell ref="A52:B52"/>
    <mergeCell ref="E52:F52"/>
    <mergeCell ref="G52:H52"/>
    <mergeCell ref="I52:J52"/>
    <mergeCell ref="A51:B51"/>
    <mergeCell ref="E51:F51"/>
    <mergeCell ref="G51:H51"/>
    <mergeCell ref="I51:J51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7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4"/>
  <sheetViews>
    <sheetView view="pageBreakPreview" zoomScale="60" zoomScaleNormal="100" workbookViewId="0">
      <selection activeCell="L21" sqref="L21:L23"/>
    </sheetView>
  </sheetViews>
  <sheetFormatPr defaultRowHeight="15" x14ac:dyDescent="0.25"/>
  <cols>
    <col min="9" max="9" width="6.7109375" customWidth="1"/>
  </cols>
  <sheetData>
    <row r="1" spans="1:12" x14ac:dyDescent="0.25">
      <c r="A1" s="1187" t="str">
        <f>CONCATENATE(кошторис!B4)</f>
        <v xml:space="preserve">   м. Канів     Шевченка      47</v>
      </c>
      <c r="B1" s="1188"/>
      <c r="C1" s="1188"/>
      <c r="D1" s="939"/>
      <c r="E1" s="939"/>
      <c r="F1" s="170"/>
      <c r="G1" s="1189" t="s">
        <v>204</v>
      </c>
      <c r="H1" s="1189"/>
      <c r="I1" s="1189"/>
      <c r="J1" s="1189"/>
    </row>
    <row r="2" spans="1:12" x14ac:dyDescent="0.25">
      <c r="A2" s="170"/>
      <c r="B2" s="170"/>
      <c r="C2" s="170"/>
      <c r="D2" s="170"/>
      <c r="E2" s="170"/>
      <c r="F2" s="170"/>
      <c r="G2" s="1189" t="s">
        <v>99</v>
      </c>
      <c r="H2" s="1189"/>
      <c r="I2" s="1189"/>
      <c r="J2" s="1189"/>
    </row>
    <row r="3" spans="1:12" x14ac:dyDescent="0.25">
      <c r="A3" s="170"/>
      <c r="B3" s="170"/>
      <c r="C3" s="170"/>
      <c r="D3" s="170"/>
      <c r="E3" s="170"/>
      <c r="F3" s="170"/>
      <c r="G3" s="1193" t="s">
        <v>619</v>
      </c>
      <c r="H3" s="1193"/>
      <c r="I3" s="1193"/>
      <c r="J3" s="1193"/>
    </row>
    <row r="4" spans="1:12" x14ac:dyDescent="0.25">
      <c r="A4" s="170"/>
      <c r="B4" s="170"/>
      <c r="C4" s="170"/>
      <c r="D4" s="170"/>
      <c r="E4" s="170"/>
      <c r="F4" s="170"/>
      <c r="G4" s="241"/>
      <c r="H4" s="242"/>
      <c r="I4" s="1190" t="s">
        <v>283</v>
      </c>
      <c r="J4" s="1190"/>
    </row>
    <row r="5" spans="1:12" x14ac:dyDescent="0.25">
      <c r="A5" s="170"/>
      <c r="B5" s="170"/>
      <c r="C5" s="170"/>
      <c r="D5" s="170"/>
      <c r="E5" s="170"/>
      <c r="F5" s="170"/>
      <c r="G5" s="1189"/>
      <c r="H5" s="1189"/>
      <c r="I5" s="1189"/>
      <c r="J5" s="1189"/>
    </row>
    <row r="6" spans="1:12" x14ac:dyDescent="0.25">
      <c r="A6" s="1191" t="s">
        <v>287</v>
      </c>
      <c r="B6" s="1191"/>
      <c r="C6" s="1191"/>
      <c r="D6" s="1191"/>
      <c r="E6" s="1191"/>
      <c r="F6" s="1191"/>
      <c r="G6" s="1191"/>
      <c r="H6" s="1191"/>
      <c r="I6" s="1191"/>
      <c r="J6" s="1191"/>
    </row>
    <row r="7" spans="1:12" ht="28.15" customHeight="1" x14ac:dyDescent="0.25">
      <c r="A7" s="1291" t="s">
        <v>936</v>
      </c>
      <c r="B7" s="1291"/>
      <c r="C7" s="1291"/>
      <c r="D7" s="1291"/>
      <c r="E7" s="1291"/>
      <c r="F7" s="1291"/>
      <c r="G7" s="1291"/>
      <c r="H7" s="1291"/>
      <c r="I7" s="1291"/>
      <c r="J7" s="1291"/>
      <c r="K7" s="1291"/>
      <c r="L7" s="1291"/>
    </row>
    <row r="8" spans="1:12" ht="19.899999999999999" customHeight="1" x14ac:dyDescent="0.25">
      <c r="A8" s="1289" t="s">
        <v>482</v>
      </c>
      <c r="B8" s="1290"/>
      <c r="C8" s="1290"/>
      <c r="D8" s="1290"/>
      <c r="E8" s="1290"/>
      <c r="F8" s="1290"/>
      <c r="G8" s="1290"/>
      <c r="H8" s="1290"/>
      <c r="I8" s="1290"/>
      <c r="J8" s="1290"/>
      <c r="K8" s="1290"/>
      <c r="L8" s="1290"/>
    </row>
    <row r="9" spans="1:12" ht="25.5" x14ac:dyDescent="0.25">
      <c r="A9" s="173" t="s">
        <v>206</v>
      </c>
      <c r="B9" s="1184" t="s">
        <v>207</v>
      </c>
      <c r="C9" s="1185"/>
      <c r="D9" s="1185"/>
      <c r="E9" s="1185"/>
      <c r="F9" s="1185"/>
      <c r="G9" s="1185"/>
      <c r="H9" s="1185"/>
      <c r="I9" s="1185"/>
      <c r="J9" s="173" t="s">
        <v>208</v>
      </c>
      <c r="K9" s="173" t="s">
        <v>209</v>
      </c>
      <c r="L9" s="173" t="s">
        <v>476</v>
      </c>
    </row>
    <row r="10" spans="1:12" ht="27" customHeight="1" x14ac:dyDescent="0.25">
      <c r="A10" s="173">
        <v>1</v>
      </c>
      <c r="B10" s="1194" t="s">
        <v>941</v>
      </c>
      <c r="C10" s="1171"/>
      <c r="D10" s="1171"/>
      <c r="E10" s="1171"/>
      <c r="F10" s="1171"/>
      <c r="G10" s="1171"/>
      <c r="H10" s="1171"/>
      <c r="I10" s="1171"/>
      <c r="J10" s="250" t="s">
        <v>477</v>
      </c>
      <c r="K10" s="408">
        <f>L10*12</f>
        <v>29160</v>
      </c>
      <c r="L10" s="408">
        <f>Характеристика!L86</f>
        <v>2430</v>
      </c>
    </row>
    <row r="11" spans="1:12" x14ac:dyDescent="0.25">
      <c r="A11" s="173">
        <v>2</v>
      </c>
      <c r="B11" s="1194" t="s">
        <v>485</v>
      </c>
      <c r="C11" s="1171"/>
      <c r="D11" s="1171"/>
      <c r="E11" s="1171"/>
      <c r="F11" s="1171"/>
      <c r="G11" s="1171"/>
      <c r="H11" s="1171"/>
      <c r="I11" s="1171"/>
      <c r="J11" s="250" t="s">
        <v>172</v>
      </c>
      <c r="K11" s="1286">
        <f>розрахунок!D49</f>
        <v>1.4</v>
      </c>
      <c r="L11" s="1287"/>
    </row>
    <row r="12" spans="1:12" x14ac:dyDescent="0.25">
      <c r="A12" s="173">
        <v>3</v>
      </c>
      <c r="B12" s="1288" t="s">
        <v>486</v>
      </c>
      <c r="C12" s="858"/>
      <c r="D12" s="858"/>
      <c r="E12" s="858"/>
      <c r="F12" s="858"/>
      <c r="G12" s="858"/>
      <c r="H12" s="858"/>
      <c r="I12" s="859"/>
      <c r="J12" s="250" t="s">
        <v>172</v>
      </c>
      <c r="K12" s="408">
        <f>L12*12</f>
        <v>7897.2644697336636</v>
      </c>
      <c r="L12" s="409">
        <f>L24</f>
        <v>658.1053724778053</v>
      </c>
    </row>
    <row r="13" spans="1:12" x14ac:dyDescent="0.25">
      <c r="A13" s="173">
        <v>4</v>
      </c>
      <c r="B13" s="1292" t="s">
        <v>483</v>
      </c>
      <c r="C13" s="858"/>
      <c r="D13" s="858"/>
      <c r="E13" s="858"/>
      <c r="F13" s="858"/>
      <c r="G13" s="858"/>
      <c r="H13" s="858"/>
      <c r="I13" s="859"/>
      <c r="J13" s="173" t="s">
        <v>172</v>
      </c>
      <c r="K13" s="410">
        <f>L13*12</f>
        <v>48721.264469733665</v>
      </c>
      <c r="L13" s="410">
        <f>L12+J22</f>
        <v>4060.1053724778053</v>
      </c>
    </row>
    <row r="14" spans="1:12" x14ac:dyDescent="0.25">
      <c r="A14" s="173">
        <v>5</v>
      </c>
      <c r="B14" s="1199" t="s">
        <v>114</v>
      </c>
      <c r="C14" s="1171"/>
      <c r="D14" s="1171"/>
      <c r="E14" s="1171"/>
      <c r="F14" s="1171"/>
      <c r="G14" s="1171"/>
      <c r="H14" s="1171"/>
      <c r="I14" s="1171"/>
      <c r="J14" s="250" t="s">
        <v>213</v>
      </c>
      <c r="K14" s="1201">
        <f>Характеристика!N18</f>
        <v>15919.85</v>
      </c>
      <c r="L14" s="1287"/>
    </row>
    <row r="15" spans="1:12" x14ac:dyDescent="0.25">
      <c r="A15" s="173">
        <v>6</v>
      </c>
      <c r="B15" s="1203" t="s">
        <v>484</v>
      </c>
      <c r="C15" s="1185"/>
      <c r="D15" s="1185"/>
      <c r="E15" s="1185"/>
      <c r="F15" s="1185"/>
      <c r="G15" s="1185"/>
      <c r="H15" s="1185"/>
      <c r="I15" s="1185"/>
      <c r="J15" s="173" t="s">
        <v>172</v>
      </c>
      <c r="K15" s="1213">
        <f>L13/K14</f>
        <v>0.25503414746230679</v>
      </c>
      <c r="L15" s="1293"/>
    </row>
    <row r="16" spans="1:12" x14ac:dyDescent="0.25">
      <c r="A16" s="140"/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</row>
    <row r="17" spans="1:12" x14ac:dyDescent="0.25">
      <c r="A17" s="140"/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</row>
    <row r="18" spans="1:12" x14ac:dyDescent="0.25">
      <c r="A18" s="1294" t="s">
        <v>478</v>
      </c>
      <c r="B18" s="1295"/>
      <c r="C18" s="1295"/>
      <c r="D18" s="1296"/>
      <c r="E18" s="1296"/>
      <c r="F18" s="1296"/>
      <c r="G18" s="1296"/>
      <c r="H18" s="1296"/>
      <c r="I18" s="1296"/>
      <c r="J18" s="1296"/>
      <c r="K18" s="1296"/>
      <c r="L18" s="1296"/>
    </row>
    <row r="19" spans="1:12" ht="168" x14ac:dyDescent="0.25">
      <c r="A19" s="1269" t="s">
        <v>266</v>
      </c>
      <c r="B19" s="1297"/>
      <c r="C19" s="1297"/>
      <c r="D19" s="1269" t="s">
        <v>267</v>
      </c>
      <c r="E19" s="753"/>
      <c r="F19" s="1269" t="s">
        <v>479</v>
      </c>
      <c r="G19" s="753"/>
      <c r="H19" s="1269" t="s">
        <v>269</v>
      </c>
      <c r="I19" s="1271"/>
      <c r="J19" s="1269" t="s">
        <v>480</v>
      </c>
      <c r="K19" s="753"/>
      <c r="L19" s="220" t="s">
        <v>481</v>
      </c>
    </row>
    <row r="20" spans="1:12" x14ac:dyDescent="0.25">
      <c r="A20" s="1269">
        <v>1</v>
      </c>
      <c r="B20" s="753"/>
      <c r="C20" s="753"/>
      <c r="D20" s="1269">
        <v>2</v>
      </c>
      <c r="E20" s="753"/>
      <c r="F20" s="1269">
        <v>3</v>
      </c>
      <c r="G20" s="753"/>
      <c r="H20" s="1269">
        <v>4</v>
      </c>
      <c r="I20" s="1271"/>
      <c r="J20" s="1269">
        <v>5</v>
      </c>
      <c r="K20" s="753"/>
      <c r="L20" s="220">
        <v>6</v>
      </c>
    </row>
    <row r="21" spans="1:12" x14ac:dyDescent="0.25">
      <c r="A21" s="1298" t="s">
        <v>272</v>
      </c>
      <c r="B21" s="753"/>
      <c r="C21" s="753"/>
      <c r="D21" s="1299">
        <f>прибирання!C49</f>
        <v>2502571.37</v>
      </c>
      <c r="E21" s="753"/>
      <c r="F21" s="1273">
        <f>прибирання!D49</f>
        <v>5976607.4800000004</v>
      </c>
      <c r="G21" s="753"/>
      <c r="H21" s="1272">
        <f>D21/F21*100</f>
        <v>41.872774452305173</v>
      </c>
      <c r="I21" s="856"/>
      <c r="J21" s="1273">
        <v>0</v>
      </c>
      <c r="K21" s="753"/>
      <c r="L21" s="232">
        <f>H21*J21/100</f>
        <v>0</v>
      </c>
    </row>
    <row r="22" spans="1:12" x14ac:dyDescent="0.25">
      <c r="A22" s="1298" t="s">
        <v>273</v>
      </c>
      <c r="B22" s="753"/>
      <c r="C22" s="753"/>
      <c r="D22" s="1299">
        <f>прибирання!C50</f>
        <v>4320090.5999999996</v>
      </c>
      <c r="E22" s="753"/>
      <c r="F22" s="1273">
        <f>прибирання!D50</f>
        <v>24679377</v>
      </c>
      <c r="G22" s="753"/>
      <c r="H22" s="1272">
        <f>D22/F22*100</f>
        <v>17.504860839882628</v>
      </c>
      <c r="I22" s="856"/>
      <c r="J22" s="1273">
        <f>L10*K11</f>
        <v>3402</v>
      </c>
      <c r="K22" s="753"/>
      <c r="L22" s="232">
        <f>H22*J22/100</f>
        <v>595.51536577280694</v>
      </c>
    </row>
    <row r="23" spans="1:12" x14ac:dyDescent="0.25">
      <c r="A23" s="1283" t="str">
        <f>прибирання!A51</f>
        <v>Витрати на збут</v>
      </c>
      <c r="B23" s="1284"/>
      <c r="C23" s="1282"/>
      <c r="D23" s="1285">
        <f>прибирання!C51</f>
        <v>248044.38</v>
      </c>
      <c r="E23" s="1282"/>
      <c r="F23" s="1281">
        <f>прибирання!D51</f>
        <v>13482135.970000001</v>
      </c>
      <c r="G23" s="1282"/>
      <c r="H23" s="1272">
        <f>D23/F23*100</f>
        <v>1.839800314667795</v>
      </c>
      <c r="I23" s="856"/>
      <c r="J23" s="1281">
        <f>L10*K11</f>
        <v>3402</v>
      </c>
      <c r="K23" s="1282"/>
      <c r="L23" s="232">
        <f>H23*J23/100</f>
        <v>62.590006704998387</v>
      </c>
    </row>
    <row r="24" spans="1:12" x14ac:dyDescent="0.25">
      <c r="A24" s="1300" t="s">
        <v>274</v>
      </c>
      <c r="B24" s="753"/>
      <c r="C24" s="753"/>
      <c r="D24" s="1301"/>
      <c r="E24" s="753"/>
      <c r="F24" s="1279"/>
      <c r="G24" s="753"/>
      <c r="H24" s="1278"/>
      <c r="I24" s="856"/>
      <c r="J24" s="1279"/>
      <c r="K24" s="753"/>
      <c r="L24" s="394">
        <f>SUM(L21:L23)</f>
        <v>658.1053724778053</v>
      </c>
    </row>
  </sheetData>
  <mergeCells count="50">
    <mergeCell ref="A22:C22"/>
    <mergeCell ref="D22:E22"/>
    <mergeCell ref="F22:G22"/>
    <mergeCell ref="H22:I22"/>
    <mergeCell ref="J22:K22"/>
    <mergeCell ref="A24:C24"/>
    <mergeCell ref="D24:E24"/>
    <mergeCell ref="F24:G24"/>
    <mergeCell ref="H24:I24"/>
    <mergeCell ref="J24:K24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  <mergeCell ref="J23:K23"/>
    <mergeCell ref="A23:C23"/>
    <mergeCell ref="D23:E23"/>
    <mergeCell ref="F23:G23"/>
    <mergeCell ref="H23:I23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3</vt:i4>
      </vt:variant>
    </vt:vector>
  </HeadingPairs>
  <TitlesOfParts>
    <vt:vector size="22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Сніг</vt:lpstr>
      <vt:lpstr>дератизація</vt:lpstr>
      <vt:lpstr>диспетчериз</vt:lpstr>
      <vt:lpstr>ліфти</vt:lpstr>
      <vt:lpstr>обслуг. пожежн</vt:lpstr>
      <vt:lpstr>сход.клітки</vt:lpstr>
      <vt:lpstr>вентканали!Область_печати</vt:lpstr>
      <vt:lpstr>кошторис!Область_печати</vt:lpstr>
      <vt:lpstr>'ТО внутріньобудин'!Область_печати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2022-10-05T07:33:40Z</dcterms:modified>
</cp:coreProperties>
</file>